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MECI\MECI 2025\ACTIVIDADES DE CONTROL\INFORMES\INFORME SEMESTRAL SISTEMA DE CONTROL INTERNO\"/>
    </mc:Choice>
  </mc:AlternateContent>
  <xr:revisionPtr revIDLastSave="0" documentId="8_{4988D196-E92C-40F3-9F1E-BA3C6399C4CF}" xr6:coauthVersionLast="47" xr6:coauthVersionMax="47" xr10:uidLastSave="{00000000-0000-0000-0000-000000000000}"/>
  <bookViews>
    <workbookView xWindow="-120" yWindow="-120" windowWidth="29040" windowHeight="15720" firstSheet="1"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8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<sst xmlns="http://schemas.openxmlformats.org/spreadsheetml/2006/main" count="512" uniqueCount="240">
  <si>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</si>
  <si>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</si>
  <si>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</si>
  <si>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</si>
  <si>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</si>
  <si>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</si>
  <si>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</si>
  <si>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</si>
  <si>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</si>
  <si>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</si>
  <si>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</si>
  <si>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</si>
  <si>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</si>
  <si>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</si>
  <si>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</si>
  <si>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</si>
  <si>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</si>
  <si>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</si>
  <si>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</si>
  <si>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</si>
  <si>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</si>
  <si>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</si>
  <si>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</si>
  <si>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</si>
  <si>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</si>
  <si>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</si>
  <si>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</si>
  <si>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</si>
  <si>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</si>
  <si>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</si>
  <si>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</si>
  <si>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</si>
  <si>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</si>
  <si>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</si>
  <si>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</si>
  <si>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</si>
  <si>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</si>
  <si>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</si>
  <si>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</si>
  <si>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</si>
  <si>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</si>
  <si>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</si>
  <si>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</si>
  <si>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</si>
  <si>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</si>
  <si>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</si>
  <si>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</si>
  <si>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</si>
  <si>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</si>
  <si>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</si>
  <si>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</si>
  <si>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</si>
  <si>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</si>
  <si>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</si>
  <si>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</si>
  <si>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</si>
  <si>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</si>
  <si>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</si>
  <si>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</si>
  <si>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</si>
  <si>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</si>
  <si>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</si>
  <si>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</si>
  <si>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</si>
  <si>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</si>
  <si>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</si>
  <si>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</si>
  <si>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</si>
  <si>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</si>
  <si>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</si>
  <si>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</si>
  <si>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</si>
  <si>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</si>
  <si>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</si>
  <si>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</si>
  <si>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</si>
  <si>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</si>
  <si>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</si>
  <si>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</si>
  <si>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</si>
  <si>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</si>
  <si>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</si>
  <si>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</si>
  <si>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</si>
  <si>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</si>
  <si>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</si>
  <si>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</si>
  <si>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</si>
  <si>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</si>
  <si>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</si>
  <si>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</si>
  <si>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</si>
  <si>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</si>
  <si>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</si>
  <si>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</si>
  <si>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</si>
  <si>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</si>
  <si>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</si>
  <si>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</si>
  <si>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</si>
  <si>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</si>
  <si>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</si>
  <si>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</si>
  <si>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</si>
  <si>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</si>
  <si>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</si>
  <si>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</si>
  <si>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</si>
  <si>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</si>
  <si>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</si>
  <si>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</si>
  <si>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</si>
  <si>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</si>
  <si>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</si>
  <si>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</si>
  <si>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</si>
  <si>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</si>
  <si>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</si>
  <si>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</si>
  <si>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</si>
  <si>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</si>
  <si>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</si>
  <si>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</si>
  <si>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</si>
  <si>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</si>
  <si>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</si>
  <si>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</si>
  <si>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</si>
  <si>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</si>
  <si>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</si>
  <si>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</si>
  <si>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</si>
  <si>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</si>
  <si>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</si>
  <si>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</si>
  <si>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</si>
  <si>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</si>
  <si>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</si>
  <si>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</si>
  <si>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</si>
  <si>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</si>
  <si>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</si>
  <si>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</si>
  <si>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</si>
  <si>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</si>
  <si>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</si>
  <si>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</si>
  <si>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</si>
  <si>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</si>
  <si>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</si>
  <si>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</si>
  <si>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</si>
  <si>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</si>
  <si>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</si>
  <si>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</si>
  <si>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</si>
  <si>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</si>
  <si>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</si>
  <si>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</si>
  <si>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</si>
  <si>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</si>
  <si>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</si>
  <si>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</si>
  <si>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</si>
  <si>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</si>
  <si>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</si>
  <si>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</si>
  <si>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</si>
  <si>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</si>
  <si>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</si>
  <si>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</si>
  <si>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</si>
  <si>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</si>
  <si>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</si>
  <si>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</si>
  <si>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</si>
  <si>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</si>
  <si>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</si>
  <si>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</si>
  <si>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</si>
  <si>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</si>
  <si>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</si>
  <si>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</si>
  <si>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</si>
  <si>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</si>
  <si>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</si>
  <si>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</si>
  <si>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</si>
  <si>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</si>
  <si>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</si>
  <si>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La empres a adoptado el MECI en todas sus dimenciones como lo  son Talento Humano, Direccionaminto estrategico, Gestion con valor para resultado, evaluacion de resultados, informacion y comunicación, gestion del conocimiento y control interno, aplicando las politicas de gestion y desempeño institucional, para tener grandes resultados</t>
  </si>
  <si>
    <t>La empresa actualizo en esta vigencia el codigo de etica para inculcar los valores institucionales</t>
  </si>
  <si>
    <t>la empresa proyecto los planes estipulados por el decret 612 y los ejecuto durante toda la vigencia para su cumplimiento con lso croogramas proyectados</t>
  </si>
  <si>
    <t xml:space="preserve">La empresa para esta vigencia actualizo el organigrama acorde a las necesidades de la empresa </t>
  </si>
  <si>
    <t>la empresa para esta vigencia aprobo y actualizo el nuevo manual de funciones</t>
  </si>
  <si>
    <t>para esta vigencia se envio a fortalecer el manual de procesos y procedimientos el cual incluyo procesos y procedimientos que no se encontraban estipulados</t>
  </si>
  <si>
    <t>como empresa no esta mis obligados a cumplir con este item ya que todos lo trabajadores de la empresa son oficiales y solo el representante legal es por nombramiento</t>
  </si>
  <si>
    <t>Dentro de la empresa existe un plan de capacitaciones que se proyecta de manera anual</t>
  </si>
  <si>
    <t>como en la empresa no hay servdores publicos no estamos a cumplir con este Item</t>
  </si>
  <si>
    <t>En cuanto a los procesos de desvinculacion la empresa, los realiza teniendo encuenta las dispociociones legales como estatutos, obligaciones contractuales, manual de funciones, reglamento interno</t>
  </si>
  <si>
    <t>La empresa realiza cuenta con la rendicion de cuentas a los entes de control gubernamental, se encuentra en la construccion de mecanismos para la rendicion de cuentas a la ciudadania</t>
  </si>
  <si>
    <t>la empresa siempre cumple con las autoridades competentes en la rendicion de informes</t>
  </si>
  <si>
    <t xml:space="preserve">se toma como base el sistema de gestion de la empresa, para evitar consecuencias que impacten negativamente a la empresa, dejando como lider al Supervisor tecnico de Calidad para analizar los cambios normativos en cuanto a la RTMyEC y tomar acciones  y medidas necesarias para implementar dichos cambios </t>
  </si>
  <si>
    <t>Si la empresa toma como punto de partida antes de implementar cada plan, con fin de verificar que exista un cyumplimiento si atrasos ni complicaciones</t>
  </si>
  <si>
    <t>Durante este año se lo realizo atravez de Programa de ransparencia y etica empresarial, aunque cabe resaltar que estamos en proceso de transiscion al programa de transparencia y etica publica</t>
  </si>
  <si>
    <t>La empresa cuenta con planes de PETI los cuales ayudan a identificar si existen riesgos tecnologicos e informaticos en la entidad</t>
  </si>
  <si>
    <t>Se realiza un seguimiento continuo a los planes de mejoramiento con el propósito de verificar que las acciones propuestas se estén ejecutando conforme a lo establecido y que contribuyan efectivamente a mitigar el riesgo asociado al hallazgo</t>
  </si>
  <si>
    <t>durante el segundo semestre se realizo el seguimiento a los planes institucionales en donde se incluye los planes de accion para analizar si existe algun riesgo inherente que afecte el funcionamiento del CDA</t>
  </si>
  <si>
    <t>Al momento de hacer el seguimiento pertinente a cada plan se identifican los riesgos y se toman las decisiones pertinentes para mitigarlos y controlarlos</t>
  </si>
  <si>
    <t>Como empresa, establecemos espacios corporativos para tomar decisiones en beneficio de la organización después de cada seguimiento trimestral de los planes. En estos encuentros se analizan las acciones pendientes, se determina la causa de su incumplimiento y se define la ruta para iniciar su ejecución y avanzar hacia el cumplimiento tota</t>
  </si>
  <si>
    <t>Las acciones no se limitan únicamente a los avances identificados en las auditorías de los organismos de control; también se desarrollan planes de mejora en función de los resultados proporcionados por la Oficina de Control Interno.</t>
  </si>
  <si>
    <t>El seguimiento a los planes institucionales es socializado con gerencia por parte de la oficina de control interno suministrando la informacion de los riesgos en los cuales se encuentra la empresa, para que se tomen acciones de mejora y mitigar los riesgos</t>
  </si>
  <si>
    <t xml:space="preserve">Se realiza el seguimiento de manera trimestral de cada plan con el fin de detectar si xisten riesgos y mitigarlos </t>
  </si>
  <si>
    <t>Cada plan institucional cuenta con un líder, con quien se mantiene una comunicación directa para definir soluciones frente a los hallazgos identificados.</t>
  </si>
  <si>
    <t>los planes han sido la base funbdamental para detectar riesgos y subsanarlos de manera temprana para que no se afecte la operatividad de la empresa</t>
  </si>
  <si>
    <t>En el Manual de Administración del Riesgo y en los mapas de riesgo, se encuentran identificados todos los riesgos y su administración.</t>
  </si>
  <si>
    <t>como empresa en esta vigencia no se implemento el plan anticorrupcion ya tencion al ciudadano ya que debemos implementar el plan de transparencia y etica publica</t>
  </si>
  <si>
    <t>cada trabajador oficial y contratista tiene definido su roll dentro de la empresa lo ayuda a tener resultados eficientes</t>
  </si>
  <si>
    <t>como empresa contamos con canales como lineas telefonicas, pagina web, redes sociales</t>
  </si>
  <si>
    <t>la empres cuenta con el acceso alos portales de cada entidad de inspección, vigilancia y control y los correos institucionales</t>
  </si>
  <si>
    <t>la empresa se para el tratamiento de la informacion tiene como base los planes de Plan Estratégico de Tecnologías de la Información y las Comunicaciones -­ PETI, Plan de Tratamiento de Riesgos de Seguridad y Privacidad de la Información y Plan de Seguridad y Privacidad de la Información</t>
  </si>
  <si>
    <t>Toda la información producida en el marco de la gestión se encuentra disponible en los medios digitales a traves de programas del area operativa y del area financiera</t>
  </si>
  <si>
    <t>si en la pagina web www.cdanar.gov.co en la pestaña de transparencia se puede acceder a esta informacion</t>
  </si>
  <si>
    <t>La empresa cuenta con su página web que se mantiene actualizada</t>
  </si>
  <si>
    <t>se tiene un plan anual de auditorias para las evaluaciones pertienentes en cuanto a las areas de la empresa, y en cuanto a los planes institucionales se realiza de manera trimestral</t>
  </si>
  <si>
    <t>Si se hacen planes de mejoramiento internos y se hace el seguimiento a cada plan para que su cumplimiento llegue al 100%</t>
  </si>
  <si>
    <t>se hace de manera interna cada trimestre</t>
  </si>
  <si>
    <t>si como empresa nos encontramos vinculados al comité departamental de auditoria, y se asiste cuando llegan circulares de participacion a los mismos</t>
  </si>
  <si>
    <t>En las reuniones de autoevaluación de la gestión se han adoptado las medidas necesarias para minimizar los riesgos y evitar que estos afecten el cumplimiento de los objetivos institucionales.</t>
  </si>
  <si>
    <t>Dentro del componente misional, se ha logrado ejercer control sobre los puntos críticos del proceso de revisión, tomando como referencia las inconformidades señaladas por la ONAC, lo que ha contribuido al fortalecimiento de los controles y a la mejora continua del sistema.</t>
  </si>
  <si>
    <t>Los planes de mejoramiento generados a partir de las auditorías realizadas han facilitado a la Oficina de Control Interno la formulación de acciones correctivas y preventivas, orientadas a mitigar los factores que inciden negativamente en el logro de los objetivos estratégicos de la entidad.</t>
  </si>
  <si>
    <t>El gerente cumple con el papel de control interno, asiste a los comites departamentales de auditoia y en cuanto a los seguimientos y auditoria se apoya en el profesional de apoyo a la oficia de control interno</t>
  </si>
  <si>
    <t>Si bien la mayoría de los componentes del Modelo Estándar de Control Interno (MECI) están implementados y en mantenimiento del control, existen elementos clave que aún se encuentran en proceso de ajuste o presentan adiciones,  lo que impide afirmar que el sistema opera de manera plenamente integrada.
Se identifican ítems “en proceso” dentro del componente Ambiente de Control se evidenció que no existe un procedimiento formal de rendición de cuentas a la ciudadanía, lo cual afecta la integración del componente de Información y Comunicación con la gestión organizacional.  Por tanto, se evidencia un avance significativo y una estructura funcional, los componentes  operan de forma  integrada y articulada, y se requiere fortalecer ciertos aspectos para lograr una operación sistémica y cohesionada del SCI.</t>
  </si>
  <si>
    <t>si como empres se cuenta con un sistema que trabaja alineado a los componentes que regula la normatividad vigente, se puede evidenciar que hay un avance significativo en cuanto a las implementaciones requeridas por la funcion publica y sus normativa, debemos enfocarnos en el componente de ambiente de control en cuanto a la rendicion de cuentas de a la ciudadania, un eje fundamental como empresa en donde podemos demostrar la transparencia y la efectividad, es por eso que para la proyeccion del 2026 se implementara y se cumplara con este iten que baja nuestro nivel de cumplimiento al componente  teniendo como resultado 96%, y en cuanto a los demas componentes se seguira comprometiendo todo lo estipulado para mantener el mismo analisis de resultados</t>
  </si>
  <si>
    <t>la empresa cuenta con las tres lineas de defensa, en cuanto a la primera contamos con nuestros trabajadores oficiales quienes se encargan de la operación del día a día con us lideres en cada area, en cuanto a la segunda linea se encuentra los jefes y supervisores personas encargadas de la toma de decisiones vigilando que la operatividad de la emrpesa siga en marcha y no se genere un riesgo inherente y se encarguen de orientar a los engarcados de la primera linea, y en cuanto a la tercera linea cuenta el gerente que es el jefe de control interno por la estucura irganizacional de la empresa pero este se apoya con el profesional de apoyoa a la oficina de control interno quienes se encargan de evaluar como va el funcionamiento de la empresa</t>
  </si>
  <si>
    <t>El componente del ambiente de control logramos desarrollar como empresa la integridad de los valores, autoridad en todos los niveles organizacionales, cumplimiento de metas, seguimiento a los diferentes planes institucionales, gestion del talento humano, nos falta implementar la rendicion de cuentas, siendo este ultimo un itemimportante para ganrantizar la transparencia de nuestra empresa, cabe resaltar que toda la informacion la pueden visualizar el publico abiertamente en la pagina web de la empresa</t>
  </si>
  <si>
    <t>como empresa se logra un ejercicio liderado por el representante legal y todo el equipo de trabajo en cuanto a la toma de desiciones cuando se identifica un riesgo, se trabaja articuladamente con cada area</t>
  </si>
  <si>
    <t>en cuanto a este componente la empresa cumple con los objetivos estrategicos con el fin de dar cumplimiento a la normatividad vigente y se implementan controles en cuanto a la mitigacion de riesgos</t>
  </si>
  <si>
    <t>dentro de este componente se evidencia directrices y mecanismos en cuanto a la divulgacion de resultados y mostrar las mejorar obtenidas de cada proceso acorde a las necesidades de los grupos de valor</t>
  </si>
  <si>
    <t>en este componente se trabajo diferentes tipos de auditoria se realizaron tanto auditorias internas y externas acorde a lo proyectado en el plan anual de auditorias y a los cronogramas de cumplimientos con los entes de control se cumplio con lo requerido demostrando eficiencia y eficacio por parte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</si>
</sst>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7">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0" fontId="52"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0" fontId="38" fillId="0" borderId="8" xfId="0" applyFont="1" applyBorder="1" applyAlignment="1" applyProtection="1">
      <alignment horizontal="center" vertical="center" wrapText="1"/>
      <protection hidden="1"/>
    </xf>
    <xf numFmtId="0" fontId="38" fillId="0" borderId="94" xfId="0" applyFont="1" applyBorder="1" applyAlignment="1" applyProtection="1">
      <alignment horizontal="center" vertical="center" wrapText="1"/>
      <protection hidden="1"/>
    </xf>
    <xf numFmtId="0" fontId="38" fillId="0" borderId="95" xfId="0" applyFont="1" applyBorder="1" applyAlignment="1" applyProtection="1">
      <alignment horizontal="center" vertical="center" wrapText="1"/>
      <protection hidden="1"/>
    </xf>
    <xf numFmtId="0" fontId="36" fillId="0" borderId="96" xfId="0"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49" fontId="0" fillId="4" borderId="2" xfId="0" applyNumberFormat="1" applyFill="1" applyBorder="1" applyAlignment="1" applyProtection="1">
      <alignment horizontal="left" vertical="center" wrapText="1"/>
      <protection locked="0"/>
    </xf>
    <xf numFmtId="49" fontId="0" fillId="4" borderId="84" xfId="0" applyNumberFormat="1" applyFill="1" applyBorder="1" applyAlignment="1" applyProtection="1">
      <alignment horizontal="left" vertical="center" wrapText="1"/>
      <protection locked="0"/>
    </xf>
    <xf numFmtId="49" fontId="0" fillId="4" borderId="3" xfId="0" applyNumberFormat="1" applyFill="1" applyBorder="1" applyAlignment="1" applyProtection="1">
      <alignment horizontal="left" vertical="center" wrapText="1"/>
      <protection locked="0"/>
    </xf>
    <xf numFmtId="49" fontId="0" fillId="4" borderId="85" xfId="0" applyNumberFormat="1" applyFill="1" applyBorder="1" applyAlignment="1" applyProtection="1">
      <alignment horizontal="left" vertical="center" wrapText="1"/>
      <protection locked="0"/>
    </xf>
    <xf numFmtId="49" fontId="0" fillId="4" borderId="4" xfId="0" applyNumberFormat="1" applyFill="1" applyBorder="1" applyAlignment="1" applyProtection="1">
      <alignment horizontal="left" vertical="center" wrapText="1"/>
      <protection locked="0"/>
    </xf>
    <xf numFmtId="49" fontId="0" fillId="4" borderId="86" xfId="0" applyNumberFormat="1" applyFill="1" applyBorder="1" applyAlignment="1" applyProtection="1">
      <alignment horizontal="left" vertical="center" wrapText="1"/>
      <protection locked="0"/>
    </xf>
    <xf numFmtId="0" fontId="57" fillId="0" borderId="24" xfId="0" applyFont="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3"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52" t="s">
        <v>0</v>
      </c>
      <c r="C2" s="153"/>
      <c r="D2" s="153"/>
      <c r="E2" s="153"/>
      <c r="F2" s="153"/>
      <c r="G2" s="153"/>
      <c r="H2" s="154"/>
    </row>
    <row r="3" spans="2:8" ht="65.25" customHeight="1" x14ac:dyDescent="0.2">
      <c r="B3" s="155" t="s">
        <v>1</v>
      </c>
      <c r="C3" s="156"/>
      <c r="D3" s="156"/>
      <c r="E3" s="156"/>
      <c r="F3" s="156"/>
      <c r="G3" s="156"/>
      <c r="H3" s="157"/>
    </row>
    <row r="4" spans="2:8" ht="82.5" customHeight="1" x14ac:dyDescent="0.2">
      <c r="B4" s="155"/>
      <c r="C4" s="156"/>
      <c r="D4" s="156"/>
      <c r="E4" s="156"/>
      <c r="F4" s="156"/>
      <c r="G4" s="156"/>
      <c r="H4" s="157"/>
    </row>
    <row r="5" spans="2:8" ht="21.75" customHeight="1" x14ac:dyDescent="0.2">
      <c r="B5" s="158" t="s">
        <v>2</v>
      </c>
      <c r="C5" s="159"/>
      <c r="D5" s="159"/>
      <c r="E5" s="159"/>
      <c r="F5" s="159"/>
      <c r="G5" s="159"/>
      <c r="H5" s="160"/>
    </row>
    <row r="6" spans="2:8" ht="42" customHeight="1" x14ac:dyDescent="0.2">
      <c r="B6" s="161" t="s">
        <v>3</v>
      </c>
      <c r="C6" s="162"/>
      <c r="D6" s="162"/>
      <c r="E6" s="162"/>
      <c r="F6" s="162"/>
      <c r="G6" s="162"/>
      <c r="H6" s="163"/>
    </row>
    <row r="7" spans="2:8" ht="14.25" customHeight="1" x14ac:dyDescent="0.2">
      <c r="B7" s="161"/>
      <c r="C7" s="162"/>
      <c r="D7" s="162"/>
      <c r="E7" s="162"/>
      <c r="F7" s="162"/>
      <c r="G7" s="162"/>
      <c r="H7" s="163"/>
    </row>
    <row r="8" spans="2:8" ht="12.75" customHeight="1" thickBot="1" x14ac:dyDescent="0.25">
      <c r="B8" s="54"/>
      <c r="C8" s="48"/>
      <c r="D8" s="63"/>
      <c r="E8" s="64"/>
      <c r="F8" s="64"/>
      <c r="G8" s="62"/>
      <c r="H8" s="56"/>
    </row>
    <row r="9" spans="2:8" ht="21" customHeight="1" thickTop="1" x14ac:dyDescent="0.2">
      <c r="B9" s="54"/>
      <c r="C9" s="164" t="s">
        <v>4</v>
      </c>
      <c r="D9" s="165"/>
      <c r="E9" s="166" t="s">
        <v>5</v>
      </c>
      <c r="F9" s="167"/>
      <c r="G9" s="48"/>
      <c r="H9" s="56"/>
    </row>
    <row r="10" spans="2:8" ht="37.5" customHeight="1" x14ac:dyDescent="0.2">
      <c r="B10" s="54"/>
      <c r="C10" s="168" t="s">
        <v>6</v>
      </c>
      <c r="D10" s="169"/>
      <c r="E10" s="170" t="s">
        <v>7</v>
      </c>
      <c r="F10" s="171"/>
      <c r="G10" s="48"/>
      <c r="H10" s="56"/>
    </row>
    <row r="11" spans="2:8" ht="39.75" customHeight="1" x14ac:dyDescent="0.2">
      <c r="B11" s="54"/>
      <c r="C11" s="172" t="s">
        <v>8</v>
      </c>
      <c r="D11" s="173"/>
      <c r="E11" s="174" t="s">
        <v>9</v>
      </c>
      <c r="F11" s="175"/>
      <c r="G11" s="48"/>
      <c r="H11" s="56"/>
    </row>
    <row r="12" spans="2:8" ht="59.25" customHeight="1" x14ac:dyDescent="0.2">
      <c r="B12" s="54"/>
      <c r="C12" s="172" t="s">
        <v>10</v>
      </c>
      <c r="D12" s="173"/>
      <c r="E12" s="176" t="s">
        <v>11</v>
      </c>
      <c r="F12" s="177"/>
      <c r="G12" s="48"/>
      <c r="H12" s="56"/>
    </row>
    <row r="13" spans="2:8" ht="33.75" customHeight="1" x14ac:dyDescent="0.2">
      <c r="B13" s="54"/>
      <c r="C13" s="182" t="s">
        <v>12</v>
      </c>
      <c r="D13" s="183"/>
      <c r="E13" s="174" t="s">
        <v>13</v>
      </c>
      <c r="F13" s="175"/>
      <c r="G13" s="48"/>
      <c r="H13" s="56"/>
    </row>
    <row r="14" spans="2:8" ht="19.5" customHeight="1" x14ac:dyDescent="0.2">
      <c r="B14" s="54"/>
      <c r="C14" s="60"/>
      <c r="D14" s="60"/>
      <c r="E14" s="61"/>
      <c r="F14" s="61"/>
      <c r="G14" s="48"/>
      <c r="H14" s="56"/>
    </row>
    <row r="15" spans="2:8" ht="37.5" customHeight="1" thickBot="1" x14ac:dyDescent="0.25">
      <c r="B15" s="178" t="s">
        <v>14</v>
      </c>
      <c r="C15" s="179"/>
      <c r="D15" s="179"/>
      <c r="E15" s="179"/>
      <c r="F15" s="179"/>
      <c r="G15" s="179"/>
      <c r="H15" s="180"/>
    </row>
    <row r="16" spans="2:8" ht="27.75" customHeight="1" thickBot="1" x14ac:dyDescent="0.25">
      <c r="B16" s="54"/>
      <c r="C16" s="184" t="s">
        <v>15</v>
      </c>
      <c r="D16" s="185"/>
      <c r="E16" s="185" t="s">
        <v>16</v>
      </c>
      <c r="F16" s="196"/>
      <c r="G16" s="48"/>
      <c r="H16" s="56"/>
    </row>
    <row r="17" spans="2:8" ht="27.75" customHeight="1" x14ac:dyDescent="0.2">
      <c r="B17" s="54"/>
      <c r="C17" s="197" t="s">
        <v>17</v>
      </c>
      <c r="D17" s="198"/>
      <c r="E17" s="199" t="s">
        <v>18</v>
      </c>
      <c r="F17" s="200"/>
      <c r="G17" s="93"/>
      <c r="H17" s="56"/>
    </row>
    <row r="18" spans="2:8" ht="41.25" customHeight="1" x14ac:dyDescent="0.2">
      <c r="B18" s="54"/>
      <c r="C18" s="186" t="s">
        <v>19</v>
      </c>
      <c r="D18" s="187"/>
      <c r="E18" s="188" t="s">
        <v>20</v>
      </c>
      <c r="F18" s="189"/>
      <c r="G18" s="94"/>
      <c r="H18" s="56"/>
    </row>
    <row r="19" spans="2:8" ht="37.5" customHeight="1" thickBot="1" x14ac:dyDescent="0.25">
      <c r="B19" s="54"/>
      <c r="C19" s="190" t="s">
        <v>21</v>
      </c>
      <c r="D19" s="191"/>
      <c r="E19" s="192" t="s">
        <v>22</v>
      </c>
      <c r="F19" s="193"/>
      <c r="G19" s="94"/>
      <c r="H19" s="56"/>
    </row>
    <row r="20" spans="2:8" ht="11.25" customHeight="1" x14ac:dyDescent="0.2">
      <c r="B20" s="49"/>
      <c r="C20" s="50"/>
      <c r="D20" s="50"/>
      <c r="E20" s="50"/>
      <c r="F20" s="50"/>
      <c r="G20" s="50"/>
      <c r="H20" s="51"/>
    </row>
    <row r="21" spans="2:8" ht="14.25" customHeight="1" x14ac:dyDescent="0.2">
      <c r="B21" s="52"/>
      <c r="C21" s="194"/>
      <c r="D21" s="194"/>
      <c r="E21" s="195"/>
      <c r="F21" s="195"/>
      <c r="G21" s="195"/>
      <c r="H21" s="53"/>
    </row>
    <row r="22" spans="2:8" ht="36" customHeight="1" x14ac:dyDescent="0.2">
      <c r="B22" s="178" t="s">
        <v>23</v>
      </c>
      <c r="C22" s="179"/>
      <c r="D22" s="179"/>
      <c r="E22" s="179"/>
      <c r="F22" s="179"/>
      <c r="G22" s="179"/>
      <c r="H22" s="180"/>
    </row>
    <row r="23" spans="2:8" ht="13.5" x14ac:dyDescent="0.2">
      <c r="B23" s="54"/>
      <c r="C23" s="55"/>
      <c r="D23" s="55"/>
      <c r="E23" s="181"/>
      <c r="F23" s="181"/>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B48" zoomScale="80" zoomScaleNormal="80" workbookViewId="0">
      <selection activeCell="H53" sqref="H53"/>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31" t="s">
        <v>24</v>
      </c>
      <c r="C14" s="231"/>
      <c r="D14" s="231"/>
      <c r="E14" s="231"/>
      <c r="F14" s="231"/>
      <c r="G14" s="231"/>
      <c r="H14" s="231"/>
      <c r="I14" s="231"/>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132" x14ac:dyDescent="0.25">
      <c r="A16" s="95" t="str">
        <f>1&amp;E16</f>
        <v>1a</v>
      </c>
      <c r="B16" s="242" t="s">
        <v>31</v>
      </c>
      <c r="C16" s="206" t="s">
        <v>32</v>
      </c>
      <c r="D16" s="239" t="s">
        <v>33</v>
      </c>
      <c r="E16" s="75" t="s">
        <v>34</v>
      </c>
      <c r="F16" s="76" t="s">
        <v>35</v>
      </c>
      <c r="G16" s="103" t="s">
        <v>38</v>
      </c>
      <c r="H16" s="104" t="s">
        <v>190</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63" x14ac:dyDescent="0.25">
      <c r="A17" s="95" t="str">
        <f t="shared" ref="A17:A27" si="1">1&amp;E17</f>
        <v>1b</v>
      </c>
      <c r="B17" s="243"/>
      <c r="C17" s="207"/>
      <c r="D17" s="240"/>
      <c r="E17" s="77" t="s">
        <v>36</v>
      </c>
      <c r="F17" s="78" t="s">
        <v>37</v>
      </c>
      <c r="G17" s="105" t="s">
        <v>38</v>
      </c>
      <c r="H17" s="106" t="s">
        <v>191</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25">
      <c r="A18" s="95" t="str">
        <f t="shared" si="1"/>
        <v>1c</v>
      </c>
      <c r="B18" s="243"/>
      <c r="C18" s="207"/>
      <c r="D18" s="240"/>
      <c r="E18" s="77" t="s">
        <v>39</v>
      </c>
      <c r="F18" s="79" t="s">
        <v>40</v>
      </c>
      <c r="G18" s="105" t="s">
        <v>38</v>
      </c>
      <c r="H18" s="107" t="s">
        <v>192</v>
      </c>
      <c r="I18" s="100" t="str">
        <f t="shared" si="2"/>
        <v>Mantenimiento del control</v>
      </c>
      <c r="J18" s="99">
        <f t="shared" si="0"/>
        <v>20</v>
      </c>
      <c r="K18" s="97">
        <v>0.12345</v>
      </c>
      <c r="L18" s="97">
        <f t="shared" si="3"/>
        <v>20.123449999999998</v>
      </c>
    </row>
    <row r="19" spans="1:32" s="46" customFormat="1" ht="37.5" customHeight="1" x14ac:dyDescent="0.25">
      <c r="A19" s="95" t="str">
        <f t="shared" si="1"/>
        <v>1d</v>
      </c>
      <c r="B19" s="243"/>
      <c r="C19" s="207"/>
      <c r="D19" s="240"/>
      <c r="E19" s="77" t="s">
        <v>41</v>
      </c>
      <c r="F19" s="79" t="s">
        <v>42</v>
      </c>
      <c r="G19" s="105" t="s">
        <v>38</v>
      </c>
      <c r="H19" s="107" t="s">
        <v>193</v>
      </c>
      <c r="I19" s="100" t="str">
        <f t="shared" si="2"/>
        <v>Mantenimiento del control</v>
      </c>
      <c r="J19" s="99">
        <f t="shared" si="0"/>
        <v>20</v>
      </c>
      <c r="K19" s="97">
        <v>0.123456</v>
      </c>
      <c r="L19" s="97">
        <f t="shared" si="3"/>
        <v>20.123456000000001</v>
      </c>
    </row>
    <row r="20" spans="1:32" s="46" customFormat="1" ht="37.5" customHeight="1" x14ac:dyDescent="0.25">
      <c r="A20" s="95" t="str">
        <f t="shared" si="1"/>
        <v>1e</v>
      </c>
      <c r="B20" s="243"/>
      <c r="C20" s="207"/>
      <c r="D20" s="240"/>
      <c r="E20" s="77" t="s">
        <v>43</v>
      </c>
      <c r="F20" s="79" t="s">
        <v>44</v>
      </c>
      <c r="G20" s="105" t="s">
        <v>38</v>
      </c>
      <c r="H20" s="107" t="s">
        <v>194</v>
      </c>
      <c r="I20" s="100" t="str">
        <f t="shared" si="2"/>
        <v>Mantenimiento del control</v>
      </c>
      <c r="J20" s="99">
        <f t="shared" si="0"/>
        <v>20</v>
      </c>
      <c r="K20" s="97">
        <v>0.12345678</v>
      </c>
      <c r="L20" s="97">
        <f t="shared" si="3"/>
        <v>20.123456780000001</v>
      </c>
    </row>
    <row r="21" spans="1:32" s="46" customFormat="1" ht="63.75" customHeight="1" x14ac:dyDescent="0.25">
      <c r="A21" s="95" t="str">
        <f t="shared" si="1"/>
        <v>1f</v>
      </c>
      <c r="B21" s="243"/>
      <c r="C21" s="207"/>
      <c r="D21" s="240"/>
      <c r="E21" s="77" t="s">
        <v>45</v>
      </c>
      <c r="F21" s="79" t="s">
        <v>46</v>
      </c>
      <c r="G21" s="105" t="s">
        <v>38</v>
      </c>
      <c r="H21" s="107" t="s">
        <v>195</v>
      </c>
      <c r="I21" s="100" t="str">
        <f t="shared" si="2"/>
        <v>Mantenimiento del control</v>
      </c>
      <c r="J21" s="99">
        <f t="shared" si="0"/>
        <v>20</v>
      </c>
      <c r="K21" s="97">
        <v>0.123456789</v>
      </c>
      <c r="L21" s="97">
        <f t="shared" si="3"/>
        <v>20.123456788999999</v>
      </c>
    </row>
    <row r="22" spans="1:32" s="46" customFormat="1" ht="65.25" customHeight="1" x14ac:dyDescent="0.25">
      <c r="A22" s="95" t="str">
        <f t="shared" si="1"/>
        <v>1g</v>
      </c>
      <c r="B22" s="243"/>
      <c r="C22" s="207"/>
      <c r="D22" s="240"/>
      <c r="E22" s="77" t="s">
        <v>47</v>
      </c>
      <c r="F22" s="79" t="s">
        <v>48</v>
      </c>
      <c r="G22" s="105" t="s">
        <v>38</v>
      </c>
      <c r="H22" s="107" t="s">
        <v>196</v>
      </c>
      <c r="I22" s="100" t="str">
        <f t="shared" si="2"/>
        <v>Mantenimiento del control</v>
      </c>
      <c r="J22" s="99">
        <f t="shared" si="0"/>
        <v>20</v>
      </c>
      <c r="K22" s="97">
        <v>0.12345678910000001</v>
      </c>
      <c r="L22" s="97">
        <f t="shared" si="3"/>
        <v>20.1234567891</v>
      </c>
    </row>
    <row r="23" spans="1:32" s="46" customFormat="1" ht="62.25" customHeight="1" x14ac:dyDescent="0.25">
      <c r="A23" s="95" t="str">
        <f t="shared" si="1"/>
        <v>1h</v>
      </c>
      <c r="B23" s="243"/>
      <c r="C23" s="207"/>
      <c r="D23" s="240"/>
      <c r="E23" s="77" t="s">
        <v>49</v>
      </c>
      <c r="F23" s="79" t="s">
        <v>50</v>
      </c>
      <c r="G23" s="105" t="s">
        <v>38</v>
      </c>
      <c r="H23" s="107" t="s">
        <v>197</v>
      </c>
      <c r="I23" s="100" t="str">
        <f t="shared" si="2"/>
        <v>Mantenimiento del control</v>
      </c>
      <c r="J23" s="99">
        <f t="shared" si="0"/>
        <v>20</v>
      </c>
      <c r="K23" s="97">
        <v>0.12345678911999999</v>
      </c>
      <c r="L23" s="97">
        <f t="shared" si="3"/>
        <v>20.123456789119999</v>
      </c>
    </row>
    <row r="24" spans="1:32" s="46" customFormat="1" ht="57.75" customHeight="1" x14ac:dyDescent="0.25">
      <c r="A24" s="95" t="str">
        <f t="shared" si="1"/>
        <v>1i</v>
      </c>
      <c r="B24" s="243"/>
      <c r="C24" s="207"/>
      <c r="D24" s="240"/>
      <c r="E24" s="77" t="s">
        <v>51</v>
      </c>
      <c r="F24" s="79" t="s">
        <v>52</v>
      </c>
      <c r="G24" s="105" t="s">
        <v>38</v>
      </c>
      <c r="H24" s="107" t="s">
        <v>198</v>
      </c>
      <c r="I24" s="100" t="str">
        <f t="shared" si="2"/>
        <v>Mantenimiento del control</v>
      </c>
      <c r="J24" s="99">
        <f t="shared" si="0"/>
        <v>20</v>
      </c>
      <c r="K24" s="97">
        <v>0.123456789123</v>
      </c>
      <c r="L24" s="97">
        <f t="shared" si="3"/>
        <v>20.123456789123001</v>
      </c>
    </row>
    <row r="25" spans="1:32" s="46" customFormat="1" ht="82.5" x14ac:dyDescent="0.25">
      <c r="A25" s="95" t="str">
        <f t="shared" si="1"/>
        <v>1j</v>
      </c>
      <c r="B25" s="243"/>
      <c r="C25" s="207"/>
      <c r="D25" s="240"/>
      <c r="E25" s="77" t="s">
        <v>53</v>
      </c>
      <c r="F25" s="79" t="s">
        <v>54</v>
      </c>
      <c r="G25" s="105" t="s">
        <v>38</v>
      </c>
      <c r="H25" s="107" t="s">
        <v>199</v>
      </c>
      <c r="I25" s="100" t="str">
        <f t="shared" si="2"/>
        <v>Mantenimiento del control</v>
      </c>
      <c r="J25" s="99">
        <f t="shared" si="0"/>
        <v>20</v>
      </c>
      <c r="K25" s="97">
        <v>0.1234567891234</v>
      </c>
      <c r="L25" s="97">
        <f t="shared" si="3"/>
        <v>20.123456789123399</v>
      </c>
    </row>
    <row r="26" spans="1:32" s="46" customFormat="1" ht="66" x14ac:dyDescent="0.25">
      <c r="A26" s="95" t="str">
        <f t="shared" si="1"/>
        <v>1k</v>
      </c>
      <c r="B26" s="243"/>
      <c r="C26" s="207"/>
      <c r="D26" s="240"/>
      <c r="E26" s="77" t="s">
        <v>55</v>
      </c>
      <c r="F26" s="79" t="s">
        <v>56</v>
      </c>
      <c r="G26" s="105" t="s">
        <v>75</v>
      </c>
      <c r="H26" s="107" t="s">
        <v>200</v>
      </c>
      <c r="I26" s="100" t="str">
        <f t="shared" si="2"/>
        <v>Oportunidad de mejora</v>
      </c>
      <c r="J26" s="99">
        <f t="shared" si="0"/>
        <v>10</v>
      </c>
      <c r="K26" s="97">
        <v>0.12345678912345</v>
      </c>
      <c r="L26" s="97">
        <f t="shared" si="3"/>
        <v>10.12345678912345</v>
      </c>
    </row>
    <row r="27" spans="1:32" s="46" customFormat="1" ht="33.75" thickBot="1" x14ac:dyDescent="0.3">
      <c r="A27" s="95" t="str">
        <f t="shared" si="1"/>
        <v>1l</v>
      </c>
      <c r="B27" s="244"/>
      <c r="C27" s="208"/>
      <c r="D27" s="241"/>
      <c r="E27" s="80" t="s">
        <v>57</v>
      </c>
      <c r="F27" s="81" t="s">
        <v>58</v>
      </c>
      <c r="G27" s="108" t="s">
        <v>38</v>
      </c>
      <c r="H27" s="109" t="s">
        <v>201</v>
      </c>
      <c r="I27" s="101" t="str">
        <f t="shared" si="2"/>
        <v>Mantenimiento del control</v>
      </c>
      <c r="J27" s="99">
        <f t="shared" si="0"/>
        <v>20</v>
      </c>
      <c r="K27" s="97">
        <v>0.12345678912345601</v>
      </c>
      <c r="L27" s="97">
        <f t="shared" si="3"/>
        <v>20.123456789123455</v>
      </c>
    </row>
    <row r="28" spans="1:32" s="46" customFormat="1" ht="115.5" x14ac:dyDescent="0.25">
      <c r="A28" s="95" t="str">
        <f>2&amp;E28</f>
        <v>2a</v>
      </c>
      <c r="B28" s="245" t="s">
        <v>59</v>
      </c>
      <c r="C28" s="209" t="s">
        <v>60</v>
      </c>
      <c r="D28" s="248" t="s">
        <v>61</v>
      </c>
      <c r="E28" s="75" t="s">
        <v>34</v>
      </c>
      <c r="F28" s="76" t="s">
        <v>62</v>
      </c>
      <c r="G28" s="103" t="s">
        <v>38</v>
      </c>
      <c r="H28" s="104" t="s">
        <v>202</v>
      </c>
      <c r="I28" s="96" t="str">
        <f t="shared" si="2"/>
        <v>Mantenimiento del control</v>
      </c>
      <c r="J28" s="97">
        <f>+IF(G28="Si",40,IF(G28="En proceso",30,20))</f>
        <v>40</v>
      </c>
      <c r="K28" s="97">
        <v>0.23</v>
      </c>
      <c r="L28" s="97">
        <f t="shared" si="3"/>
        <v>40.229999999999997</v>
      </c>
    </row>
    <row r="29" spans="1:32" s="46" customFormat="1" ht="66" x14ac:dyDescent="0.25">
      <c r="A29" s="95" t="str">
        <f t="shared" ref="A29:A31" si="4">2&amp;E29</f>
        <v>2b</v>
      </c>
      <c r="B29" s="246"/>
      <c r="C29" s="210"/>
      <c r="D29" s="224"/>
      <c r="E29" s="77" t="s">
        <v>36</v>
      </c>
      <c r="F29" s="79" t="s">
        <v>63</v>
      </c>
      <c r="G29" s="105" t="s">
        <v>38</v>
      </c>
      <c r="H29" s="107" t="s">
        <v>203</v>
      </c>
      <c r="I29" s="100" t="str">
        <f t="shared" si="2"/>
        <v>Mantenimiento del control</v>
      </c>
      <c r="J29" s="97">
        <f>+IF(G29="Si",40,IF(G29="En proceso",30,20))</f>
        <v>40</v>
      </c>
      <c r="K29" s="97">
        <v>0.23400000000000001</v>
      </c>
      <c r="L29" s="97">
        <f t="shared" si="3"/>
        <v>40.234000000000002</v>
      </c>
    </row>
    <row r="30" spans="1:32" s="46" customFormat="1" ht="66" x14ac:dyDescent="0.25">
      <c r="A30" s="95" t="str">
        <f t="shared" si="4"/>
        <v>2c</v>
      </c>
      <c r="B30" s="246"/>
      <c r="C30" s="210"/>
      <c r="D30" s="224"/>
      <c r="E30" s="77" t="s">
        <v>39</v>
      </c>
      <c r="F30" s="79" t="s">
        <v>64</v>
      </c>
      <c r="G30" s="105" t="s">
        <v>38</v>
      </c>
      <c r="H30" s="107" t="s">
        <v>204</v>
      </c>
      <c r="I30" s="100" t="str">
        <f t="shared" si="2"/>
        <v>Mantenimiento del control</v>
      </c>
      <c r="J30" s="97">
        <f>+IF(G30="Si",40,IF(G30="En proceso",30,20))</f>
        <v>40</v>
      </c>
      <c r="K30" s="97">
        <v>0.23449999999999999</v>
      </c>
      <c r="L30" s="97">
        <f t="shared" si="3"/>
        <v>40.234499999999997</v>
      </c>
    </row>
    <row r="31" spans="1:32" s="46" customFormat="1" ht="63.75" thickBot="1" x14ac:dyDescent="0.3">
      <c r="A31" s="95" t="str">
        <f t="shared" si="4"/>
        <v>2d</v>
      </c>
      <c r="B31" s="247"/>
      <c r="C31" s="211"/>
      <c r="D31" s="249"/>
      <c r="E31" s="80" t="s">
        <v>41</v>
      </c>
      <c r="F31" s="81" t="s">
        <v>65</v>
      </c>
      <c r="G31" s="108" t="s">
        <v>38</v>
      </c>
      <c r="H31" s="109" t="s">
        <v>205</v>
      </c>
      <c r="I31" s="101" t="str">
        <f t="shared" si="2"/>
        <v>Mantenimiento del control</v>
      </c>
      <c r="J31" s="97">
        <f>+IF(G31="Si",40,IF(G31="En proceso",30,20))</f>
        <v>40</v>
      </c>
      <c r="K31" s="97">
        <v>0.23455999999999999</v>
      </c>
      <c r="L31" s="97">
        <f t="shared" si="3"/>
        <v>40.234560000000002</v>
      </c>
    </row>
    <row r="32" spans="1:32" s="46" customFormat="1" ht="82.5" x14ac:dyDescent="0.25">
      <c r="A32" s="95" t="str">
        <f>3&amp;E32</f>
        <v>3a</v>
      </c>
      <c r="B32" s="221" t="s">
        <v>66</v>
      </c>
      <c r="C32" s="221" t="s">
        <v>60</v>
      </c>
      <c r="D32" s="222" t="s">
        <v>67</v>
      </c>
      <c r="E32" s="77" t="s">
        <v>34</v>
      </c>
      <c r="F32" s="79" t="s">
        <v>68</v>
      </c>
      <c r="G32" s="105" t="s">
        <v>38</v>
      </c>
      <c r="H32" s="107" t="s">
        <v>206</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82.5" x14ac:dyDescent="0.25">
      <c r="A33" s="95" t="str">
        <f t="shared" ref="A33:A34" si="7">3&amp;E33</f>
        <v>3b</v>
      </c>
      <c r="B33" s="221"/>
      <c r="C33" s="221"/>
      <c r="D33" s="222"/>
      <c r="E33" s="77" t="s">
        <v>36</v>
      </c>
      <c r="F33" s="79" t="s">
        <v>69</v>
      </c>
      <c r="G33" s="105" t="s">
        <v>38</v>
      </c>
      <c r="H33" s="107" t="s">
        <v>207</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 customHeight="1" thickBot="1" x14ac:dyDescent="0.3">
      <c r="A34" s="95" t="str">
        <f t="shared" si="7"/>
        <v>3c</v>
      </c>
      <c r="B34" s="221"/>
      <c r="C34" s="221"/>
      <c r="D34" s="222"/>
      <c r="E34" s="77" t="s">
        <v>39</v>
      </c>
      <c r="F34" s="79" t="s">
        <v>70</v>
      </c>
      <c r="G34" s="105" t="s">
        <v>38</v>
      </c>
      <c r="H34" s="107" t="s">
        <v>208</v>
      </c>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132" x14ac:dyDescent="0.25">
      <c r="A35" s="95" t="str">
        <f>4&amp;E35</f>
        <v>4a</v>
      </c>
      <c r="B35" s="223" t="s">
        <v>71</v>
      </c>
      <c r="C35" s="210" t="s">
        <v>60</v>
      </c>
      <c r="D35" s="224" t="s">
        <v>72</v>
      </c>
      <c r="E35" s="75" t="s">
        <v>34</v>
      </c>
      <c r="F35" s="76" t="s">
        <v>73</v>
      </c>
      <c r="G35" s="103" t="s">
        <v>38</v>
      </c>
      <c r="H35" s="104" t="s">
        <v>209</v>
      </c>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25">
      <c r="A36" s="95" t="str">
        <f t="shared" ref="A36:A37" si="8">4&amp;E36</f>
        <v>4b</v>
      </c>
      <c r="B36" s="223"/>
      <c r="C36" s="210"/>
      <c r="D36" s="224"/>
      <c r="E36" s="77" t="s">
        <v>36</v>
      </c>
      <c r="F36" s="79" t="s">
        <v>74</v>
      </c>
      <c r="G36" s="105" t="s">
        <v>38</v>
      </c>
      <c r="H36" s="107" t="s">
        <v>213</v>
      </c>
      <c r="I36" s="100" t="str">
        <f t="shared" si="2"/>
        <v>Mantenimiento del control</v>
      </c>
      <c r="J36" s="97">
        <f t="shared" si="5"/>
        <v>40</v>
      </c>
      <c r="K36" s="102">
        <v>0.23456789122999999</v>
      </c>
      <c r="L36" s="97">
        <f t="shared" si="6"/>
        <v>40.23456789123</v>
      </c>
      <c r="M36" s="45"/>
      <c r="N36" s="45"/>
      <c r="O36" s="45"/>
      <c r="P36" s="45"/>
      <c r="Q36" s="45"/>
    </row>
    <row r="37" spans="1:32" s="46" customFormat="1" ht="83.25" thickBot="1" x14ac:dyDescent="0.3">
      <c r="A37" s="95" t="str">
        <f t="shared" si="8"/>
        <v>4c</v>
      </c>
      <c r="B37" s="223"/>
      <c r="C37" s="210"/>
      <c r="D37" s="224"/>
      <c r="E37" s="77" t="s">
        <v>39</v>
      </c>
      <c r="F37" s="79" t="s">
        <v>76</v>
      </c>
      <c r="G37" s="105" t="s">
        <v>38</v>
      </c>
      <c r="H37" s="107" t="s">
        <v>210</v>
      </c>
      <c r="I37" s="100" t="str">
        <f t="shared" si="2"/>
        <v>Mantenimiento del control</v>
      </c>
      <c r="J37" s="97">
        <f t="shared" si="5"/>
        <v>40</v>
      </c>
      <c r="K37" s="102">
        <v>0.23456789123399999</v>
      </c>
      <c r="L37" s="97">
        <f t="shared" si="6"/>
        <v>40.234567891234001</v>
      </c>
      <c r="M37" s="45"/>
      <c r="N37" s="45"/>
      <c r="O37" s="45"/>
      <c r="P37" s="45"/>
      <c r="Q37" s="45"/>
    </row>
    <row r="38" spans="1:32" s="46" customFormat="1" ht="85.5" customHeight="1" x14ac:dyDescent="0.25">
      <c r="A38" s="95" t="str">
        <f>5&amp;E38</f>
        <v>5a</v>
      </c>
      <c r="B38" s="225" t="s">
        <v>77</v>
      </c>
      <c r="C38" s="212" t="s">
        <v>78</v>
      </c>
      <c r="D38" s="228" t="s">
        <v>79</v>
      </c>
      <c r="E38" s="75" t="s">
        <v>34</v>
      </c>
      <c r="F38" s="76" t="s">
        <v>80</v>
      </c>
      <c r="G38" s="103" t="s">
        <v>38</v>
      </c>
      <c r="H38" s="104" t="s">
        <v>211</v>
      </c>
      <c r="I38" s="96" t="str">
        <f t="shared" si="2"/>
        <v>Mantenimiento del control</v>
      </c>
      <c r="J38" s="97">
        <f>+IF(G38="Si",60,IF(G38="En proceso",50,40))</f>
        <v>60</v>
      </c>
      <c r="K38" s="97">
        <v>0.31</v>
      </c>
      <c r="L38" s="97">
        <f t="shared" si="3"/>
        <v>60.31</v>
      </c>
    </row>
    <row r="39" spans="1:32" s="46" customFormat="1" ht="63" x14ac:dyDescent="0.25">
      <c r="A39" s="95" t="str">
        <f t="shared" ref="A39:A42" si="9">5&amp;E39</f>
        <v>5b</v>
      </c>
      <c r="B39" s="226"/>
      <c r="C39" s="213"/>
      <c r="D39" s="229"/>
      <c r="E39" s="77" t="s">
        <v>36</v>
      </c>
      <c r="F39" s="79" t="s">
        <v>81</v>
      </c>
      <c r="G39" s="105" t="s">
        <v>38</v>
      </c>
      <c r="H39" s="107" t="s">
        <v>212</v>
      </c>
      <c r="I39" s="100" t="str">
        <f t="shared" si="2"/>
        <v>Mantenimiento del control</v>
      </c>
      <c r="J39" s="97">
        <f>+IF(G39="Si",60,IF(G39="En proceso",50,40))</f>
        <v>60</v>
      </c>
      <c r="K39" s="97">
        <v>0.32300000000000001</v>
      </c>
      <c r="L39" s="97">
        <f t="shared" si="3"/>
        <v>60.323</v>
      </c>
    </row>
    <row r="40" spans="1:32" s="46" customFormat="1" ht="49.5" x14ac:dyDescent="0.25">
      <c r="A40" s="95" t="str">
        <f t="shared" si="9"/>
        <v>5c</v>
      </c>
      <c r="B40" s="226"/>
      <c r="C40" s="213"/>
      <c r="D40" s="229"/>
      <c r="E40" s="77" t="s">
        <v>39</v>
      </c>
      <c r="F40" s="79" t="s">
        <v>82</v>
      </c>
      <c r="G40" s="105" t="s">
        <v>38</v>
      </c>
      <c r="H40" s="107" t="s">
        <v>214</v>
      </c>
      <c r="I40" s="100" t="str">
        <f t="shared" si="2"/>
        <v>Mantenimiento del control</v>
      </c>
      <c r="J40" s="97">
        <f>+IF(G40="Si",60,IF(G40="En proceso",50,40))</f>
        <v>60</v>
      </c>
      <c r="K40" s="97">
        <v>0.32400000000000001</v>
      </c>
      <c r="L40" s="97">
        <f t="shared" si="3"/>
        <v>60.323999999999998</v>
      </c>
    </row>
    <row r="41" spans="1:32" s="46" customFormat="1" ht="94.5" x14ac:dyDescent="0.25">
      <c r="A41" s="95" t="str">
        <f t="shared" si="9"/>
        <v>5d</v>
      </c>
      <c r="B41" s="226"/>
      <c r="C41" s="213"/>
      <c r="D41" s="229"/>
      <c r="E41" s="77" t="s">
        <v>41</v>
      </c>
      <c r="F41" s="79" t="s">
        <v>83</v>
      </c>
      <c r="G41" s="105" t="s">
        <v>38</v>
      </c>
      <c r="H41" s="107" t="s">
        <v>215</v>
      </c>
      <c r="I41" s="100" t="str">
        <f t="shared" si="2"/>
        <v>Mantenimiento del control</v>
      </c>
      <c r="J41" s="97">
        <f>+IF(G41="Si",60,IF(G41="En proceso",50,40))</f>
        <v>60</v>
      </c>
      <c r="K41" s="97">
        <v>0.32500000000000001</v>
      </c>
      <c r="L41" s="97">
        <f t="shared" si="3"/>
        <v>60.325000000000003</v>
      </c>
    </row>
    <row r="42" spans="1:32" s="46" customFormat="1" ht="66.75" thickBot="1" x14ac:dyDescent="0.3">
      <c r="A42" s="95" t="str">
        <f t="shared" si="9"/>
        <v>5e</v>
      </c>
      <c r="B42" s="227"/>
      <c r="C42" s="214"/>
      <c r="D42" s="230"/>
      <c r="E42" s="80" t="s">
        <v>43</v>
      </c>
      <c r="F42" s="81" t="s">
        <v>84</v>
      </c>
      <c r="G42" s="108" t="s">
        <v>38</v>
      </c>
      <c r="H42" s="109" t="s">
        <v>216</v>
      </c>
      <c r="I42" s="101" t="str">
        <f t="shared" si="2"/>
        <v>Mantenimiento del control</v>
      </c>
      <c r="J42" s="97">
        <f>+IF(G42="Si",60,IF(G42="En proceso",50,40))</f>
        <v>60</v>
      </c>
      <c r="K42" s="97">
        <v>0.32600000000000001</v>
      </c>
      <c r="L42" s="97">
        <f t="shared" si="3"/>
        <v>60.326000000000001</v>
      </c>
    </row>
    <row r="43" spans="1:32" s="46" customFormat="1" ht="49.5" x14ac:dyDescent="0.25">
      <c r="A43" s="95" t="str">
        <f>6&amp;E43</f>
        <v>6a</v>
      </c>
      <c r="B43" s="235" t="s">
        <v>85</v>
      </c>
      <c r="C43" s="215" t="s">
        <v>86</v>
      </c>
      <c r="D43" s="232" t="s">
        <v>87</v>
      </c>
      <c r="E43" s="75" t="s">
        <v>34</v>
      </c>
      <c r="F43" s="76" t="s">
        <v>88</v>
      </c>
      <c r="G43" s="103" t="s">
        <v>38</v>
      </c>
      <c r="H43" s="104" t="s">
        <v>217</v>
      </c>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25">
      <c r="A44" s="95" t="str">
        <f t="shared" ref="A44:A49" si="11">6&amp;E44</f>
        <v>6b</v>
      </c>
      <c r="B44" s="236"/>
      <c r="C44" s="216"/>
      <c r="D44" s="233"/>
      <c r="E44" s="77" t="s">
        <v>36</v>
      </c>
      <c r="F44" s="79" t="s">
        <v>89</v>
      </c>
      <c r="G44" s="105" t="s">
        <v>38</v>
      </c>
      <c r="H44" s="107" t="s">
        <v>218</v>
      </c>
      <c r="I44" s="100" t="str">
        <f t="shared" si="2"/>
        <v>Mantenimiento del control</v>
      </c>
      <c r="J44" s="97">
        <f t="shared" si="10"/>
        <v>80</v>
      </c>
      <c r="K44" s="97">
        <v>0.4123</v>
      </c>
      <c r="L44" s="97">
        <f t="shared" si="3"/>
        <v>80.412300000000002</v>
      </c>
    </row>
    <row r="45" spans="1:32" s="46" customFormat="1" ht="49.5" x14ac:dyDescent="0.25">
      <c r="A45" s="95" t="str">
        <f t="shared" si="11"/>
        <v>6c</v>
      </c>
      <c r="B45" s="236"/>
      <c r="C45" s="216"/>
      <c r="D45" s="233"/>
      <c r="E45" s="77" t="s">
        <v>39</v>
      </c>
      <c r="F45" s="79" t="s">
        <v>90</v>
      </c>
      <c r="G45" s="105" t="s">
        <v>38</v>
      </c>
      <c r="H45" s="107" t="s">
        <v>219</v>
      </c>
      <c r="I45" s="100" t="str">
        <f t="shared" si="2"/>
        <v>Mantenimiento del control</v>
      </c>
      <c r="J45" s="97">
        <f t="shared" si="10"/>
        <v>80</v>
      </c>
      <c r="K45" s="97">
        <v>0.41233999999999998</v>
      </c>
      <c r="L45" s="97">
        <f t="shared" si="3"/>
        <v>80.41234</v>
      </c>
    </row>
    <row r="46" spans="1:32" s="46" customFormat="1" ht="115.5" x14ac:dyDescent="0.25">
      <c r="A46" s="95" t="str">
        <f t="shared" si="11"/>
        <v>6d</v>
      </c>
      <c r="B46" s="236"/>
      <c r="C46" s="216"/>
      <c r="D46" s="233"/>
      <c r="E46" s="77" t="s">
        <v>41</v>
      </c>
      <c r="F46" s="79" t="s">
        <v>91</v>
      </c>
      <c r="G46" s="105" t="s">
        <v>38</v>
      </c>
      <c r="H46" s="107" t="s">
        <v>220</v>
      </c>
      <c r="I46" s="100" t="str">
        <f t="shared" si="2"/>
        <v>Mantenimiento del control</v>
      </c>
      <c r="J46" s="97">
        <f t="shared" si="10"/>
        <v>80</v>
      </c>
      <c r="K46" s="97">
        <v>0.41234500000000002</v>
      </c>
      <c r="L46" s="97">
        <f t="shared" si="3"/>
        <v>80.412345000000002</v>
      </c>
    </row>
    <row r="47" spans="1:32" s="46" customFormat="1" ht="66" x14ac:dyDescent="0.25">
      <c r="A47" s="95" t="str">
        <f t="shared" si="11"/>
        <v>6e</v>
      </c>
      <c r="B47" s="236"/>
      <c r="C47" s="216"/>
      <c r="D47" s="233"/>
      <c r="E47" s="77" t="s">
        <v>43</v>
      </c>
      <c r="F47" s="79" t="s">
        <v>92</v>
      </c>
      <c r="G47" s="105" t="s">
        <v>38</v>
      </c>
      <c r="H47" s="107" t="s">
        <v>221</v>
      </c>
      <c r="I47" s="100" t="str">
        <f t="shared" si="2"/>
        <v>Mantenimiento del control</v>
      </c>
      <c r="J47" s="97">
        <f t="shared" si="10"/>
        <v>80</v>
      </c>
      <c r="K47" s="97">
        <v>0.41234559999999998</v>
      </c>
      <c r="L47" s="97">
        <f t="shared" si="3"/>
        <v>80.412345599999995</v>
      </c>
    </row>
    <row r="48" spans="1:32" s="46" customFormat="1" ht="63" x14ac:dyDescent="0.25">
      <c r="A48" s="95" t="str">
        <f t="shared" si="11"/>
        <v>6f</v>
      </c>
      <c r="B48" s="236"/>
      <c r="C48" s="216"/>
      <c r="D48" s="233"/>
      <c r="E48" s="77" t="s">
        <v>45</v>
      </c>
      <c r="F48" s="79" t="s">
        <v>93</v>
      </c>
      <c r="G48" s="105" t="s">
        <v>38</v>
      </c>
      <c r="H48" s="107" t="s">
        <v>222</v>
      </c>
      <c r="I48" s="100" t="str">
        <f t="shared" si="2"/>
        <v>Mantenimiento del control</v>
      </c>
      <c r="J48" s="97">
        <f t="shared" si="10"/>
        <v>80</v>
      </c>
      <c r="K48" s="97">
        <v>0.41234567</v>
      </c>
      <c r="L48" s="97">
        <f t="shared" si="3"/>
        <v>80.412345669999993</v>
      </c>
    </row>
    <row r="49" spans="1:17" s="46" customFormat="1" ht="48" thickBot="1" x14ac:dyDescent="0.3">
      <c r="A49" s="95" t="str">
        <f t="shared" si="11"/>
        <v>6g</v>
      </c>
      <c r="B49" s="237"/>
      <c r="C49" s="217"/>
      <c r="D49" s="234"/>
      <c r="E49" s="80" t="s">
        <v>47</v>
      </c>
      <c r="F49" s="81" t="s">
        <v>94</v>
      </c>
      <c r="G49" s="108" t="s">
        <v>38</v>
      </c>
      <c r="H49" s="109" t="s">
        <v>223</v>
      </c>
      <c r="I49" s="101" t="str">
        <f t="shared" si="2"/>
        <v>Mantenimiento del control</v>
      </c>
      <c r="J49" s="97">
        <f t="shared" si="10"/>
        <v>80</v>
      </c>
      <c r="K49" s="97">
        <v>0.41234567799999999</v>
      </c>
      <c r="L49" s="97">
        <f t="shared" si="3"/>
        <v>80.412345677999994</v>
      </c>
    </row>
    <row r="50" spans="1:17" s="46" customFormat="1" ht="66" x14ac:dyDescent="0.25">
      <c r="A50" s="95" t="str">
        <f>7&amp;E50</f>
        <v>7a</v>
      </c>
      <c r="B50" s="203" t="s">
        <v>95</v>
      </c>
      <c r="C50" s="218" t="s">
        <v>96</v>
      </c>
      <c r="D50" s="201" t="s">
        <v>97</v>
      </c>
      <c r="E50" s="75" t="s">
        <v>34</v>
      </c>
      <c r="F50" s="76" t="s">
        <v>98</v>
      </c>
      <c r="G50" s="103" t="s">
        <v>38</v>
      </c>
      <c r="H50" s="104" t="s">
        <v>224</v>
      </c>
      <c r="I50" s="96" t="str">
        <f t="shared" si="2"/>
        <v>Mantenimiento del control</v>
      </c>
      <c r="J50" s="97">
        <f>+IF(G50="Si",120,IF(G50="En proceso",100,80))</f>
        <v>120</v>
      </c>
      <c r="K50" s="97">
        <v>0.85099999999999998</v>
      </c>
      <c r="L50" s="97">
        <f t="shared" si="3"/>
        <v>120.851</v>
      </c>
    </row>
    <row r="51" spans="1:17" s="46" customFormat="1" ht="94.5" x14ac:dyDescent="0.25">
      <c r="A51" s="95" t="str">
        <f t="shared" ref="A51:A53" si="12">7&amp;E51</f>
        <v>7d</v>
      </c>
      <c r="B51" s="204"/>
      <c r="C51" s="219"/>
      <c r="D51" s="202"/>
      <c r="E51" s="77" t="s">
        <v>41</v>
      </c>
      <c r="F51" s="79" t="s">
        <v>99</v>
      </c>
      <c r="G51" s="105" t="s">
        <v>38</v>
      </c>
      <c r="H51" s="107" t="s">
        <v>231</v>
      </c>
      <c r="I51" s="100" t="str">
        <f t="shared" si="2"/>
        <v>Mantenimiento del control</v>
      </c>
      <c r="J51" s="97">
        <f t="shared" ref="J51:J59" si="13">+IF(G51="Si",120,IF(G51="En proceso",100,80))</f>
        <v>120</v>
      </c>
      <c r="K51" s="97">
        <v>0.85119999999999996</v>
      </c>
      <c r="L51" s="97">
        <f t="shared" si="3"/>
        <v>120.85120000000001</v>
      </c>
    </row>
    <row r="52" spans="1:17" s="46" customFormat="1" ht="49.5" x14ac:dyDescent="0.25">
      <c r="A52" s="95" t="str">
        <f t="shared" si="12"/>
        <v>7f</v>
      </c>
      <c r="B52" s="204"/>
      <c r="C52" s="219"/>
      <c r="D52" s="202"/>
      <c r="E52" s="77" t="s">
        <v>45</v>
      </c>
      <c r="F52" s="79" t="s">
        <v>100</v>
      </c>
      <c r="G52" s="105" t="s">
        <v>38</v>
      </c>
      <c r="H52" s="107" t="s">
        <v>225</v>
      </c>
      <c r="I52" s="100" t="str">
        <f t="shared" si="2"/>
        <v>Mantenimiento del control</v>
      </c>
      <c r="J52" s="97">
        <f t="shared" si="13"/>
        <v>120</v>
      </c>
      <c r="K52" s="97">
        <v>0.85123000000000004</v>
      </c>
      <c r="L52" s="97">
        <f t="shared" si="3"/>
        <v>120.85123</v>
      </c>
    </row>
    <row r="53" spans="1:17" s="46" customFormat="1" ht="48" thickBot="1" x14ac:dyDescent="0.3">
      <c r="A53" s="95" t="str">
        <f t="shared" si="12"/>
        <v>7g</v>
      </c>
      <c r="B53" s="205"/>
      <c r="C53" s="220"/>
      <c r="D53" s="238"/>
      <c r="E53" s="80" t="s">
        <v>47</v>
      </c>
      <c r="F53" s="81" t="s">
        <v>101</v>
      </c>
      <c r="G53" s="108" t="s">
        <v>38</v>
      </c>
      <c r="H53" s="109" t="s">
        <v>226</v>
      </c>
      <c r="I53" s="101" t="str">
        <f t="shared" si="2"/>
        <v>Mantenimiento del control</v>
      </c>
      <c r="J53" s="97">
        <f t="shared" si="13"/>
        <v>120</v>
      </c>
      <c r="K53" s="97">
        <v>0.85123400000000005</v>
      </c>
      <c r="L53" s="97">
        <f t="shared" si="3"/>
        <v>120.85123400000001</v>
      </c>
    </row>
    <row r="54" spans="1:17" s="46" customFormat="1" ht="102.75" customHeight="1" thickBot="1" x14ac:dyDescent="0.3">
      <c r="A54" s="95" t="str">
        <f>8&amp;E54</f>
        <v>8h</v>
      </c>
      <c r="B54" s="150" t="s">
        <v>102</v>
      </c>
      <c r="C54" s="151" t="s">
        <v>96</v>
      </c>
      <c r="D54" s="70" t="s">
        <v>103</v>
      </c>
      <c r="E54" s="75" t="s">
        <v>49</v>
      </c>
      <c r="F54" s="76" t="s">
        <v>104</v>
      </c>
      <c r="G54" s="103" t="s">
        <v>38</v>
      </c>
      <c r="H54" s="104" t="s">
        <v>227</v>
      </c>
      <c r="I54" s="96" t="str">
        <f t="shared" si="2"/>
        <v>Mantenimiento del control</v>
      </c>
      <c r="J54" s="97">
        <f t="shared" si="13"/>
        <v>120</v>
      </c>
      <c r="K54" s="97">
        <v>0.85123450000000001</v>
      </c>
      <c r="L54" s="97">
        <f t="shared" si="3"/>
        <v>120.8512345</v>
      </c>
    </row>
    <row r="55" spans="1:17" s="46" customFormat="1" ht="66" x14ac:dyDescent="0.25">
      <c r="A55" s="95" t="str">
        <f>9&amp;E55</f>
        <v>9a</v>
      </c>
      <c r="B55" s="203" t="s">
        <v>105</v>
      </c>
      <c r="C55" s="218" t="s">
        <v>96</v>
      </c>
      <c r="D55" s="201" t="s">
        <v>106</v>
      </c>
      <c r="E55" s="75" t="s">
        <v>34</v>
      </c>
      <c r="F55" s="76" t="s">
        <v>107</v>
      </c>
      <c r="G55" s="103" t="s">
        <v>38</v>
      </c>
      <c r="H55" s="104" t="s">
        <v>228</v>
      </c>
      <c r="I55" s="305" t="str">
        <f t="shared" si="2"/>
        <v>Mantenimiento del control</v>
      </c>
      <c r="J55" s="97">
        <f t="shared" si="13"/>
        <v>120</v>
      </c>
      <c r="K55" s="102">
        <v>0.85123455999999997</v>
      </c>
      <c r="L55" s="97">
        <f t="shared" si="3"/>
        <v>120.85123455999999</v>
      </c>
      <c r="M55" s="45"/>
      <c r="N55" s="45"/>
      <c r="O55" s="45"/>
      <c r="P55" s="45"/>
      <c r="Q55" s="45"/>
    </row>
    <row r="56" spans="1:17" s="46" customFormat="1" ht="94.5" x14ac:dyDescent="0.25">
      <c r="A56" s="95" t="str">
        <f t="shared" ref="A56:A59" si="14">9&amp;E56</f>
        <v>9b</v>
      </c>
      <c r="B56" s="204"/>
      <c r="C56" s="219"/>
      <c r="D56" s="202"/>
      <c r="E56" s="77" t="s">
        <v>36</v>
      </c>
      <c r="F56" s="79" t="s">
        <v>108</v>
      </c>
      <c r="G56" s="105" t="s">
        <v>38</v>
      </c>
      <c r="H56" s="309" t="s">
        <v>229</v>
      </c>
      <c r="I56" s="306" t="str">
        <f t="shared" si="2"/>
        <v>Mantenimiento del control</v>
      </c>
      <c r="J56" s="97">
        <f t="shared" si="13"/>
        <v>120</v>
      </c>
      <c r="K56" s="102">
        <v>0.851234567</v>
      </c>
      <c r="L56" s="97">
        <f t="shared" si="3"/>
        <v>120.85123456700001</v>
      </c>
      <c r="M56" s="45"/>
      <c r="N56" s="45"/>
      <c r="O56" s="45"/>
      <c r="P56" s="45"/>
      <c r="Q56" s="45"/>
    </row>
    <row r="57" spans="1:17" s="46" customFormat="1" ht="66" x14ac:dyDescent="0.25">
      <c r="A57" s="95" t="str">
        <f t="shared" si="14"/>
        <v>9c</v>
      </c>
      <c r="B57" s="204"/>
      <c r="C57" s="219"/>
      <c r="D57" s="202"/>
      <c r="E57" s="77" t="s">
        <v>39</v>
      </c>
      <c r="F57" s="79" t="s">
        <v>109</v>
      </c>
      <c r="G57" s="105" t="s">
        <v>38</v>
      </c>
      <c r="H57" s="308" t="s">
        <v>228</v>
      </c>
      <c r="I57" s="306" t="str">
        <f t="shared" si="2"/>
        <v>Mantenimiento del control</v>
      </c>
      <c r="J57" s="97">
        <f t="shared" si="13"/>
        <v>120</v>
      </c>
      <c r="K57" s="102">
        <v>0.85123456779999995</v>
      </c>
      <c r="L57" s="97">
        <f t="shared" si="3"/>
        <v>120.85123456780001</v>
      </c>
      <c r="M57" s="45"/>
      <c r="N57" s="45"/>
      <c r="O57" s="45"/>
      <c r="P57" s="45"/>
      <c r="Q57" s="45"/>
    </row>
    <row r="58" spans="1:17" s="46" customFormat="1" ht="99" x14ac:dyDescent="0.25">
      <c r="A58" s="95" t="str">
        <f t="shared" si="14"/>
        <v>9d</v>
      </c>
      <c r="B58" s="204"/>
      <c r="C58" s="219"/>
      <c r="D58" s="202"/>
      <c r="E58" s="77" t="s">
        <v>41</v>
      </c>
      <c r="F58" s="79" t="s">
        <v>110</v>
      </c>
      <c r="G58" s="105" t="s">
        <v>38</v>
      </c>
      <c r="H58" s="107" t="s">
        <v>229</v>
      </c>
      <c r="I58" s="306" t="str">
        <f t="shared" si="2"/>
        <v>Mantenimiento del control</v>
      </c>
      <c r="J58" s="97">
        <f t="shared" si="13"/>
        <v>120</v>
      </c>
      <c r="K58" s="102">
        <v>0.85123456788999996</v>
      </c>
      <c r="L58" s="97">
        <f t="shared" si="3"/>
        <v>120.85123456789</v>
      </c>
      <c r="M58" s="45"/>
      <c r="N58" s="45"/>
      <c r="O58" s="45"/>
      <c r="P58" s="45"/>
      <c r="Q58" s="45"/>
    </row>
    <row r="59" spans="1:17" s="46" customFormat="1" ht="99.75" thickBot="1" x14ac:dyDescent="0.3">
      <c r="A59" s="95" t="str">
        <f t="shared" si="14"/>
        <v>9e</v>
      </c>
      <c r="B59" s="205"/>
      <c r="C59" s="220"/>
      <c r="D59" s="238"/>
      <c r="E59" s="80" t="s">
        <v>43</v>
      </c>
      <c r="F59" s="81" t="s">
        <v>111</v>
      </c>
      <c r="G59" s="108" t="s">
        <v>38</v>
      </c>
      <c r="H59" s="109" t="s">
        <v>230</v>
      </c>
      <c r="I59" s="307"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10" zoomScale="80" zoomScaleNormal="80" workbookViewId="0">
      <selection activeCell="I17" sqref="I17:I18"/>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81" t="s">
        <v>112</v>
      </c>
      <c r="D7" s="282"/>
      <c r="E7" s="282"/>
      <c r="F7" s="282"/>
      <c r="G7" s="282"/>
      <c r="H7" s="282"/>
      <c r="I7" s="282"/>
      <c r="J7" s="282"/>
      <c r="K7" s="283"/>
    </row>
    <row r="8" spans="1:11" s="1" customFormat="1" ht="15.75" thickBot="1" x14ac:dyDescent="0.3">
      <c r="C8" s="36"/>
      <c r="D8" s="36"/>
      <c r="E8" s="37"/>
      <c r="F8" s="37"/>
      <c r="G8" s="37"/>
      <c r="H8" s="37"/>
      <c r="I8" s="47"/>
      <c r="J8" s="37"/>
      <c r="K8" s="37"/>
    </row>
    <row r="9" spans="1:11" ht="21" thickBot="1" x14ac:dyDescent="0.3">
      <c r="A9" s="1"/>
      <c r="B9" s="1"/>
      <c r="C9" s="184" t="s">
        <v>15</v>
      </c>
      <c r="D9" s="185"/>
      <c r="E9" s="185" t="s">
        <v>16</v>
      </c>
      <c r="F9" s="196"/>
      <c r="G9" s="37"/>
      <c r="H9" s="37"/>
      <c r="I9" s="47"/>
      <c r="J9" s="37"/>
      <c r="K9" s="37"/>
    </row>
    <row r="10" spans="1:11" ht="54" customHeight="1" x14ac:dyDescent="0.25">
      <c r="A10" s="1"/>
      <c r="B10" s="1"/>
      <c r="C10" s="197" t="s">
        <v>17</v>
      </c>
      <c r="D10" s="198"/>
      <c r="E10" s="199" t="s">
        <v>18</v>
      </c>
      <c r="F10" s="200"/>
      <c r="G10" s="38"/>
      <c r="H10" s="39">
        <v>1</v>
      </c>
      <c r="I10" s="47"/>
      <c r="J10" s="37"/>
      <c r="K10" s="37"/>
    </row>
    <row r="11" spans="1:11" ht="46.5" customHeight="1" x14ac:dyDescent="0.25">
      <c r="A11" s="1"/>
      <c r="B11" s="1"/>
      <c r="C11" s="186" t="s">
        <v>19</v>
      </c>
      <c r="D11" s="187"/>
      <c r="E11" s="188" t="s">
        <v>113</v>
      </c>
      <c r="F11" s="189"/>
      <c r="G11" s="40" t="s">
        <v>114</v>
      </c>
      <c r="H11" s="39">
        <v>0.75</v>
      </c>
      <c r="I11" s="47"/>
      <c r="J11" s="37"/>
      <c r="K11" s="37"/>
    </row>
    <row r="12" spans="1:11" ht="70.5" customHeight="1" thickBot="1" x14ac:dyDescent="0.3">
      <c r="A12" s="1"/>
      <c r="B12" s="1"/>
      <c r="C12" s="190" t="s">
        <v>21</v>
      </c>
      <c r="D12" s="191"/>
      <c r="E12" s="192" t="s">
        <v>115</v>
      </c>
      <c r="F12" s="193"/>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3" t="s">
        <v>116</v>
      </c>
      <c r="D17" s="275" t="s">
        <v>117</v>
      </c>
      <c r="E17" s="276"/>
      <c r="F17" s="277" t="s">
        <v>118</v>
      </c>
      <c r="G17" s="279" t="s">
        <v>119</v>
      </c>
      <c r="H17" s="35"/>
      <c r="I17" s="268" t="s">
        <v>120</v>
      </c>
      <c r="J17" s="268" t="s">
        <v>121</v>
      </c>
    </row>
    <row r="18" spans="1:10" ht="36" customHeight="1" thickBot="1" x14ac:dyDescent="0.3">
      <c r="A18" s="1"/>
      <c r="B18" s="1"/>
      <c r="C18" s="274"/>
      <c r="D18" s="110" t="s">
        <v>122</v>
      </c>
      <c r="E18" s="111" t="s">
        <v>27</v>
      </c>
      <c r="F18" s="278"/>
      <c r="G18" s="280"/>
      <c r="H18" s="35"/>
      <c r="I18" s="269"/>
      <c r="J18" s="269"/>
    </row>
    <row r="19" spans="1:10" ht="65.25" customHeight="1" x14ac:dyDescent="0.25">
      <c r="A19" s="1"/>
      <c r="B19" s="1"/>
      <c r="C19" s="129">
        <v>1</v>
      </c>
      <c r="D19" s="270" t="s">
        <v>32</v>
      </c>
      <c r="E19" s="112" t="str">
        <f>+IFERROR(INDEX(Hoja1!$E$2:$E$45,MATCH('Análisis Resultados'!C19,Hoja1!$H$2:$H$45,0)),"")</f>
        <v>Mecanismos de rendición de cuentas a la ciudadanía</v>
      </c>
      <c r="F19" s="113" t="str">
        <f>+IFERROR(VLOOKUP(C19,Hoja1!$H$2:$I$45,2,0),"")</f>
        <v>En proceso</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30">
        <f>+IF(F19="Si",1,IF(F19="En proceso",0.5,0))</f>
        <v>0.5</v>
      </c>
      <c r="J19" s="252">
        <f>+AVERAGE(I19:I30)</f>
        <v>0.95833333333333337</v>
      </c>
    </row>
    <row r="20" spans="1:10" ht="57" x14ac:dyDescent="0.25">
      <c r="A20" s="1"/>
      <c r="B20" s="1"/>
      <c r="C20" s="129">
        <v>2</v>
      </c>
      <c r="D20" s="271"/>
      <c r="E20" s="115" t="str">
        <f>+IFERROR(INDEX(Hoja1!$E$2:$E$45,MATCH('Análisis Resultados'!C20,Hoja1!$H$2:$H$45,0)),"")</f>
        <v>Documento interno o adopción del MECI actualizado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53"/>
    </row>
    <row r="21" spans="1:10" ht="45" x14ac:dyDescent="0.25">
      <c r="A21" s="1"/>
      <c r="B21" s="1"/>
      <c r="C21" s="129">
        <v>3</v>
      </c>
      <c r="D21" s="271"/>
      <c r="E21" s="115" t="str">
        <f>+IFERROR(INDEX(Hoja1!$E$2:$E$45,MATCH('Análisis Resultados'!C21,Hoja1!$H$2:$H$45,0)),"")</f>
        <v>Un documento tal como un código de ética, integridad u otro que formalice los estándares de conducta, los principios institucionales o los valores del servicio público</v>
      </c>
      <c r="F21" s="116" t="str">
        <f>+IFERROR(VLOOKUP(C21,Hoja1!$H$2:$I$45,2,0),"")</f>
        <v>Si</v>
      </c>
      <c r="G21" s="117" t="str">
        <f t="shared" si="0"/>
        <v>Existe requerimiento pero se requiere actividades  dirigidas a su mantenimiento dentro del marco de las lineas de defensa.</v>
      </c>
      <c r="I21" s="131">
        <f t="shared" si="1"/>
        <v>1</v>
      </c>
      <c r="J21" s="253"/>
    </row>
    <row r="22" spans="1:10" ht="56.25" customHeight="1" x14ac:dyDescent="0.25">
      <c r="A22" s="1"/>
      <c r="B22" s="1"/>
      <c r="C22" s="129">
        <v>4</v>
      </c>
      <c r="D22" s="271"/>
      <c r="E22" s="115" t="str">
        <f>+IFERROR(INDEX(Hoja1!$E$2:$E$45,MATCH('Análisis Resultados'!C22,Hoja1!$H$2:$H$45,0)),"")</f>
        <v>Planes, programas y proyectos de acuerdo con las normas que rigen y atendiendo con su propósito fundamental institucional (misión)</v>
      </c>
      <c r="F22" s="116" t="str">
        <f>+IFERROR(VLOOKUP(C22,Hoja1!$H$2:$I$45,2,0),"")</f>
        <v>Si</v>
      </c>
      <c r="G22" s="117" t="str">
        <f t="shared" si="0"/>
        <v>Existe requerimiento pero se requiere actividades  dirigidas a su mantenimiento dentro del marco de las lineas de defensa.</v>
      </c>
      <c r="I22" s="131">
        <f t="shared" si="1"/>
        <v>1</v>
      </c>
      <c r="J22" s="253"/>
    </row>
    <row r="23" spans="1:10" ht="45" x14ac:dyDescent="0.25">
      <c r="A23" s="1"/>
      <c r="B23" s="1"/>
      <c r="C23" s="129">
        <v>5</v>
      </c>
      <c r="D23" s="271"/>
      <c r="E23" s="115" t="str">
        <f>+IFERROR(INDEX(Hoja1!$E$2:$E$45,MATCH('Análisis Resultados'!C23,Hoja1!$H$2:$H$45,0)),"")</f>
        <v>Una estructura organizacional formalizada (organigrama)</v>
      </c>
      <c r="F23" s="116" t="str">
        <f>+IFERROR(VLOOKUP(C23,Hoja1!$H$2:$I$45,2,0),"")</f>
        <v>Si</v>
      </c>
      <c r="G23" s="117" t="str">
        <f t="shared" si="0"/>
        <v>Existe requerimiento pero se requiere actividades  dirigidas a su mantenimiento dentro del marco de las lineas de defensa.</v>
      </c>
      <c r="I23" s="131">
        <f t="shared" si="1"/>
        <v>1</v>
      </c>
      <c r="J23" s="253"/>
    </row>
    <row r="24" spans="1:10" ht="45" x14ac:dyDescent="0.25">
      <c r="A24" s="1"/>
      <c r="B24" s="1"/>
      <c r="C24" s="129">
        <v>6</v>
      </c>
      <c r="D24" s="271"/>
      <c r="E24" s="115" t="str">
        <f>+IFERROR(INDEX(Hoja1!$E$2:$E$45,MATCH('Análisis Resultados'!C24,Hoja1!$H$2:$H$45,0)),"")</f>
        <v>Un manual de funciones que describa los empleos de la entidad</v>
      </c>
      <c r="F24" s="116" t="str">
        <f>+IFERROR(VLOOKUP(C24,Hoja1!$H$2:$I$45,2,0),"")</f>
        <v>Si</v>
      </c>
      <c r="G24" s="117" t="str">
        <f t="shared" si="0"/>
        <v>Existe requerimiento pero se requiere actividades  dirigidas a su mantenimiento dentro del marco de las lineas de defensa.</v>
      </c>
      <c r="I24" s="131">
        <f t="shared" si="1"/>
        <v>1</v>
      </c>
      <c r="J24" s="253"/>
    </row>
    <row r="25" spans="1:10" ht="45" x14ac:dyDescent="0.25">
      <c r="A25" s="1"/>
      <c r="B25" s="1"/>
      <c r="C25" s="129">
        <v>7</v>
      </c>
      <c r="D25" s="271"/>
      <c r="E25" s="115" t="str">
        <f>+IFERROR(INDEX(Hoja1!$E$2:$E$45,MATCH('Análisis Resultados'!C25,Hoja1!$H$2:$H$45,0)),"")</f>
        <v>La documentación de sus procesos y procedimientos o bien una lista de actividades principales que permitan conocer el estado de su gestión</v>
      </c>
      <c r="F25" s="116" t="str">
        <f>+IFERROR(VLOOKUP(C25,Hoja1!$H$2:$I$45,2,0),"")</f>
        <v>Si</v>
      </c>
      <c r="G25" s="117" t="str">
        <f t="shared" si="0"/>
        <v>Existe requerimiento pero se requiere actividades  dirigidas a su mantenimiento dentro del marco de las lineas de defensa.</v>
      </c>
      <c r="I25" s="131">
        <f t="shared" si="1"/>
        <v>1</v>
      </c>
      <c r="J25" s="253"/>
    </row>
    <row r="26" spans="1:10" ht="45" x14ac:dyDescent="0.25">
      <c r="A26" s="1"/>
      <c r="B26" s="1"/>
      <c r="C26" s="129">
        <v>8</v>
      </c>
      <c r="D26" s="271"/>
      <c r="E26" s="115" t="str">
        <f>+IFERROR(INDEX(Hoja1!$E$2:$E$45,MATCH('Análisis Resultados'!C26,Hoja1!$H$2:$H$45,0)),"")</f>
        <v>Vinculación de los servidores públicos de acuerdo con el marco normativo que les rige (carrera administrativa, libre nombramiento y remoción, entre otros)</v>
      </c>
      <c r="F26" s="116" t="str">
        <f>+IFERROR(VLOOKUP(C26,Hoja1!$H$2:$I$45,2,0),"")</f>
        <v>Si</v>
      </c>
      <c r="G26" s="117" t="str">
        <f t="shared" si="0"/>
        <v>Existe requerimiento pero se requiere actividades  dirigidas a su mantenimiento dentro del marco de las lineas de defensa.</v>
      </c>
      <c r="I26" s="131">
        <f t="shared" si="1"/>
        <v>1</v>
      </c>
      <c r="J26" s="253"/>
    </row>
    <row r="27" spans="1:10" ht="45" x14ac:dyDescent="0.25">
      <c r="A27" s="1"/>
      <c r="B27" s="1"/>
      <c r="C27" s="129">
        <v>9</v>
      </c>
      <c r="D27" s="271"/>
      <c r="E27" s="115" t="str">
        <f>+IFERROR(INDEX(Hoja1!$E$2:$E$45,MATCH('Análisis Resultados'!C27,Hoja1!$H$2:$H$45,0)),"")</f>
        <v>Procesos de inducción, capacitación y bienestar social para sus servidores públicos, de manera directa o en asociación con otras entidades municipales</v>
      </c>
      <c r="F27" s="116" t="str">
        <f>+IFERROR(VLOOKUP(C27,Hoja1!$H$2:$I$45,2,0),"")</f>
        <v>Si</v>
      </c>
      <c r="G27" s="117" t="str">
        <f t="shared" si="0"/>
        <v>Existe requerimiento pero se requiere actividades  dirigidas a su mantenimiento dentro del marco de las lineas de defensa.</v>
      </c>
      <c r="I27" s="131">
        <f t="shared" si="1"/>
        <v>1</v>
      </c>
      <c r="J27" s="253"/>
    </row>
    <row r="28" spans="1:10" ht="45" x14ac:dyDescent="0.25">
      <c r="A28" s="1"/>
      <c r="B28" s="1"/>
      <c r="C28" s="129">
        <v>10</v>
      </c>
      <c r="D28" s="271"/>
      <c r="E28" s="115" t="str">
        <f>+IFERROR(INDEX(Hoja1!$E$2:$E$45,MATCH('Análisis Resultados'!C28,Hoja1!$H$2:$H$45,0)),"")</f>
        <v>Evaluación a los servidores públicos de acuerdo con el marco normativo que le rige</v>
      </c>
      <c r="F28" s="116" t="str">
        <f>+IFERROR(VLOOKUP(C28,Hoja1!$H$2:$I$45,2,0),"")</f>
        <v>Si</v>
      </c>
      <c r="G28" s="117" t="str">
        <f t="shared" si="0"/>
        <v>Existe requerimiento pero se requiere actividades  dirigidas a su mantenimiento dentro del marco de las lineas de defensa.</v>
      </c>
      <c r="I28" s="131">
        <f t="shared" si="1"/>
        <v>1</v>
      </c>
      <c r="J28" s="253"/>
    </row>
    <row r="29" spans="1:10" ht="45" x14ac:dyDescent="0.25">
      <c r="A29" s="1"/>
      <c r="B29" s="1"/>
      <c r="C29" s="129">
        <v>11</v>
      </c>
      <c r="D29" s="271"/>
      <c r="E29" s="115" t="str">
        <f>+IFERROR(INDEX(Hoja1!$E$2:$E$45,MATCH('Análisis Resultados'!C29,Hoja1!$H$2:$H$45,0)),"")</f>
        <v>Procesos de desvinculación de servidores de acuerdo con lo previsto en la Constitución Política y las leyes</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53"/>
    </row>
    <row r="30" spans="1:10" ht="45.75" thickBot="1" x14ac:dyDescent="0.3">
      <c r="A30" s="1"/>
      <c r="B30" s="1"/>
      <c r="C30" s="129">
        <v>12</v>
      </c>
      <c r="D30" s="272"/>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54"/>
    </row>
    <row r="31" spans="1:10" ht="45" customHeight="1" x14ac:dyDescent="0.25">
      <c r="A31" s="1"/>
      <c r="B31" s="1"/>
      <c r="C31" s="129">
        <v>13</v>
      </c>
      <c r="D31" s="266" t="s">
        <v>60</v>
      </c>
      <c r="E31" s="112" t="str">
        <f>+IFERROR(INDEX(Hoja1!$E$2:$E$45,MATCH('Análisis Resultados'!C31,Hoja1!$H$2:$H$45,0)),"")</f>
        <v>La identificación de cambios en su entorno que pueden generar consecuencias negativas en su gestión</v>
      </c>
      <c r="F31" s="113" t="str">
        <f>+IFERROR(VLOOKUP(C31,Hoja1!$H$2:$I$45,2,0),"")</f>
        <v>Si</v>
      </c>
      <c r="G31" s="114" t="str">
        <f t="shared" si="0"/>
        <v>Existe requerimiento pero se requiere actividades  dirigidas a su mantenimiento dentro del marco de las lineas de defensa.</v>
      </c>
      <c r="I31" s="130">
        <f t="shared" si="1"/>
        <v>1</v>
      </c>
      <c r="J31" s="250">
        <f>+AVERAGE(I31:I40)</f>
        <v>1</v>
      </c>
    </row>
    <row r="32" spans="1:10" ht="57" customHeight="1" x14ac:dyDescent="0.25">
      <c r="A32" s="1"/>
      <c r="B32" s="1"/>
      <c r="C32" s="129">
        <v>14</v>
      </c>
      <c r="D32" s="267"/>
      <c r="E32" s="115" t="str">
        <f>+IFERROR(INDEX(Hoja1!$E$2:$E$45,MATCH('Análisis Resultados'!C32,Hoja1!$H$2:$H$45,0)),"")</f>
        <v>La identificación de aquellos problemas o aspectos que pueden afectar el cumplimiento de los planes de la entidad y en general su gestión institucional (riesgos)</v>
      </c>
      <c r="F32" s="116" t="str">
        <f>+IFERROR(VLOOKUP(C32,Hoja1!$H$2:$I$45,2,0),"")</f>
        <v>Si</v>
      </c>
      <c r="G32" s="117" t="str">
        <f t="shared" si="0"/>
        <v>Existe requerimiento pero se requiere actividades  dirigidas a su mantenimiento dentro del marco de las lineas de defensa.</v>
      </c>
      <c r="I32" s="131">
        <f t="shared" si="1"/>
        <v>1</v>
      </c>
      <c r="J32" s="251"/>
    </row>
    <row r="33" spans="1:10" ht="54" customHeight="1" x14ac:dyDescent="0.25">
      <c r="A33" s="1"/>
      <c r="B33" s="1"/>
      <c r="C33" s="129">
        <v>15</v>
      </c>
      <c r="D33" s="267"/>
      <c r="E33" s="115" t="str">
        <f>+IFERROR(INDEX(Hoja1!$E$2:$E$45,MATCH('Análisis Resultados'!C33,Hoja1!$H$2:$H$45,0)),"")</f>
        <v>La identificación  de los riesgos relacionados con posibles actos de corrupción en el ejercicio de sus funciones</v>
      </c>
      <c r="F33" s="116" t="str">
        <f>+IFERROR(VLOOKUP(C33,Hoja1!$H$2:$I$45,2,0),"")</f>
        <v>Si</v>
      </c>
      <c r="G33" s="117" t="str">
        <f t="shared" si="0"/>
        <v>Existe requerimiento pero se requiere actividades  dirigidas a su mantenimiento dentro del marco de las lineas de defensa.</v>
      </c>
      <c r="I33" s="131">
        <f t="shared" si="1"/>
        <v>1</v>
      </c>
      <c r="J33" s="251"/>
    </row>
    <row r="34" spans="1:10" ht="45" x14ac:dyDescent="0.25">
      <c r="A34" s="1"/>
      <c r="B34" s="1"/>
      <c r="C34" s="129">
        <v>16</v>
      </c>
      <c r="D34" s="267"/>
      <c r="E34" s="115" t="str">
        <f>+IFERROR(INDEX(Hoja1!$E$2:$E$45,MATCH('Análisis Resultados'!C34,Hoja1!$H$2:$H$45,0)),"")</f>
        <v>Si su capacidad e infraestructura lo permite, identificación de riesgos asociados a las tecnologías de la información y las comunicaciones</v>
      </c>
      <c r="F34" s="116" t="str">
        <f>+IFERROR(VLOOKUP(C34,Hoja1!$H$2:$I$45,2,0),"")</f>
        <v>Si</v>
      </c>
      <c r="G34" s="117" t="str">
        <f t="shared" si="0"/>
        <v>Existe requerimiento pero se requiere actividades  dirigidas a su mantenimiento dentro del marco de las lineas de defensa.</v>
      </c>
      <c r="I34" s="131">
        <f t="shared" si="1"/>
        <v>1</v>
      </c>
      <c r="J34" s="251"/>
    </row>
    <row r="35" spans="1:10" ht="67.5" customHeight="1" x14ac:dyDescent="0.25">
      <c r="A35" s="1"/>
      <c r="B35" s="1"/>
      <c r="C35" s="129">
        <v>17</v>
      </c>
      <c r="D35" s="267"/>
      <c r="E35" s="115" t="str">
        <f>+IFERROR(INDEX(Hoja1!$E$2:$E$45,MATCH('Análisis Resultados'!C35,Hoja1!$H$2:$H$45,0)),"")</f>
        <v>Hacen seguimiento a los problemas (riesgos)  que pueden afectar el cumplimiento de sus procesos, programas o proyectos a cargo</v>
      </c>
      <c r="F35" s="116" t="str">
        <f>+IFERROR(VLOOKUP(C35,Hoja1!$H$2:$I$45,2,0),"")</f>
        <v>Si</v>
      </c>
      <c r="G35" s="117" t="str">
        <f t="shared" si="0"/>
        <v>Existe requerimiento pero se requiere actividades  dirigidas a su mantenimiento dentro del marco de las lineas de defensa.</v>
      </c>
      <c r="I35" s="131">
        <f t="shared" si="1"/>
        <v>1</v>
      </c>
      <c r="J35" s="251"/>
    </row>
    <row r="36" spans="1:10" ht="45" x14ac:dyDescent="0.25">
      <c r="A36" s="1"/>
      <c r="B36" s="1"/>
      <c r="C36" s="129">
        <v>18</v>
      </c>
      <c r="D36" s="267"/>
      <c r="E36" s="115" t="str">
        <f>+IFERROR(INDEX(Hoja1!$E$2:$E$45,MATCH('Análisis Resultados'!C36,Hoja1!$H$2:$H$45,0)),"")</f>
        <v>Informan de manera periódica a quien corresponda sobre el desempeño de las actividades de gestión de riesgos</v>
      </c>
      <c r="F36" s="116" t="str">
        <f>+IFERROR(VLOOKUP(C36,Hoja1!$H$2:$I$45,2,0),"")</f>
        <v>Si</v>
      </c>
      <c r="G36" s="117" t="str">
        <f t="shared" si="0"/>
        <v>Existe requerimiento pero se requiere actividades  dirigidas a su mantenimiento dentro del marco de las lineas de defensa.</v>
      </c>
      <c r="I36" s="131">
        <f t="shared" si="1"/>
        <v>1</v>
      </c>
      <c r="J36" s="251"/>
    </row>
    <row r="37" spans="1:10" ht="57" customHeight="1" x14ac:dyDescent="0.25">
      <c r="A37" s="1"/>
      <c r="B37" s="1"/>
      <c r="C37" s="129">
        <v>19</v>
      </c>
      <c r="D37" s="267"/>
      <c r="E37" s="115" t="str">
        <f>+IFERROR(INDEX(Hoja1!$E$2:$E$45,MATCH('Análisis Resultados'!C37,Hoja1!$H$2:$H$45,0)),"")</f>
        <v>Identifican deficiencias en las maneras de  controlar los riesgos o problemas en sus procesos, programas o proyectos, y propone los ajustes necesarios</v>
      </c>
      <c r="F37" s="116" t="str">
        <f>+IFERROR(VLOOKUP(C37,Hoja1!$H$2:$I$45,2,0),"")</f>
        <v>Si</v>
      </c>
      <c r="G37" s="117" t="str">
        <f t="shared" si="0"/>
        <v>Existe requerimiento pero se requiere actividades  dirigidas a su mantenimiento dentro del marco de las lineas de defensa.</v>
      </c>
      <c r="I37" s="131">
        <f t="shared" si="1"/>
        <v>1</v>
      </c>
      <c r="J37" s="251"/>
    </row>
    <row r="38" spans="1:10" ht="45" x14ac:dyDescent="0.25">
      <c r="A38" s="1"/>
      <c r="B38" s="1"/>
      <c r="C38" s="129">
        <v>20</v>
      </c>
      <c r="D38" s="267"/>
      <c r="E38" s="115" t="str">
        <f>+IFERROR(INDEX(Hoja1!$E$2:$E$45,MATCH('Análisis Resultados'!C38,Hoja1!$H$2:$H$45,0)),"")</f>
        <v>Se definen espacios de reunión para conocerlos y proponer acciones para su solución</v>
      </c>
      <c r="F38" s="116" t="str">
        <f>+IFERROR(VLOOKUP(C38,Hoja1!$H$2:$I$45,2,0),"")</f>
        <v>Si</v>
      </c>
      <c r="G38" s="117" t="str">
        <f t="shared" si="0"/>
        <v>Existe requerimiento pero se requiere actividades  dirigidas a su mantenimiento dentro del marco de las lineas de defensa.</v>
      </c>
      <c r="I38" s="131">
        <f t="shared" si="1"/>
        <v>1</v>
      </c>
      <c r="J38" s="251"/>
    </row>
    <row r="39" spans="1:10" ht="45" x14ac:dyDescent="0.25">
      <c r="A39" s="1"/>
      <c r="B39" s="1"/>
      <c r="C39" s="129">
        <v>21</v>
      </c>
      <c r="D39" s="267"/>
      <c r="E39" s="115" t="str">
        <f>+IFERROR(INDEX(Hoja1!$E$2:$E$45,MATCH('Análisis Resultados'!C39,Hoja1!$H$2:$H$45,0)),"")</f>
        <v>Cada líder del equipo autónomamente toma las acciones para solucionarlos.</v>
      </c>
      <c r="F39" s="116" t="str">
        <f>+IFERROR(VLOOKUP(C39,Hoja1!$H$2:$I$45,2,0),"")</f>
        <v>Si</v>
      </c>
      <c r="G39" s="117" t="str">
        <f t="shared" si="0"/>
        <v>Existe requerimiento pero se requiere actividades  dirigidas a su mantenimiento dentro del marco de las lineas de defensa.</v>
      </c>
      <c r="I39" s="131">
        <f t="shared" si="1"/>
        <v>1</v>
      </c>
      <c r="J39" s="251"/>
    </row>
    <row r="40" spans="1:10" ht="45.75" thickBot="1" x14ac:dyDescent="0.3">
      <c r="A40" s="1"/>
      <c r="B40" s="1"/>
      <c r="C40" s="129">
        <v>22</v>
      </c>
      <c r="D40" s="267"/>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51"/>
    </row>
    <row r="41" spans="1:10" ht="87.75" customHeight="1" x14ac:dyDescent="0.25">
      <c r="A41" s="1"/>
      <c r="B41" s="1"/>
      <c r="C41" s="129">
        <v>23</v>
      </c>
      <c r="D41" s="262" t="s">
        <v>78</v>
      </c>
      <c r="E41" s="112" t="str">
        <f>+IFERROR(INDEX(Hoja1!$E$2:$E$45,MATCH('Análisis Resultados'!C41,Hoja1!$H$2:$H$45,0)),"")</f>
        <v>La definición de acciones o actividades para para dar tratamiento a los problemas identificados (mitigación de riesgos), incluyendo aquellos asociados a posibles actos de corrupción</v>
      </c>
      <c r="F41" s="113" t="str">
        <f>+IFERROR(VLOOKUP(C41,Hoja1!$H$2:$I$45,2,0),"")</f>
        <v>Si</v>
      </c>
      <c r="G41" s="114" t="str">
        <f t="shared" si="0"/>
        <v>Existe requerimiento pero se requiere actividades  dirigidas a su mantenimiento dentro del marco de las lineas de defensa.</v>
      </c>
      <c r="I41" s="130">
        <f t="shared" si="1"/>
        <v>1</v>
      </c>
      <c r="J41" s="250">
        <f>+AVERAGE(I41:I45)</f>
        <v>1</v>
      </c>
    </row>
    <row r="42" spans="1:10" ht="57" x14ac:dyDescent="0.25">
      <c r="A42" s="1"/>
      <c r="B42" s="1"/>
      <c r="C42" s="129">
        <v>24</v>
      </c>
      <c r="D42" s="263"/>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Si</v>
      </c>
      <c r="G42" s="117" t="str">
        <f t="shared" si="0"/>
        <v>Existe requerimiento pero se requiere actividades  dirigidas a su mantenimiento dentro del marco de las lineas de defensa.</v>
      </c>
      <c r="I42" s="131">
        <f t="shared" si="1"/>
        <v>1</v>
      </c>
      <c r="J42" s="251"/>
    </row>
    <row r="43" spans="1:10" ht="85.5" customHeight="1" x14ac:dyDescent="0.25">
      <c r="A43" s="1"/>
      <c r="B43" s="1"/>
      <c r="C43" s="129">
        <v>25</v>
      </c>
      <c r="D43" s="263"/>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51"/>
    </row>
    <row r="44" spans="1:10" ht="57" customHeight="1" x14ac:dyDescent="0.25">
      <c r="A44" s="1"/>
      <c r="B44" s="1"/>
      <c r="C44" s="129">
        <v>26</v>
      </c>
      <c r="D44" s="263"/>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51"/>
    </row>
    <row r="45" spans="1:10" ht="57" customHeight="1" thickBot="1" x14ac:dyDescent="0.3">
      <c r="A45" s="1"/>
      <c r="B45" s="1"/>
      <c r="C45" s="129">
        <v>27</v>
      </c>
      <c r="D45" s="264"/>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65"/>
    </row>
    <row r="46" spans="1:10" ht="63.75" customHeight="1" x14ac:dyDescent="0.25">
      <c r="A46" s="1"/>
      <c r="B46" s="1"/>
      <c r="C46" s="129">
        <v>28</v>
      </c>
      <c r="D46" s="261" t="s">
        <v>86</v>
      </c>
      <c r="E46" s="124" t="str">
        <f>+IFERROR(INDEX(Hoja1!$E$2:$E$45,MATCH('Análisis Resultados'!C46,Hoja1!$H$2:$H$45,0)),"")</f>
        <v>Responsables de la información institucional</v>
      </c>
      <c r="F46" s="125" t="str">
        <f>+IFERROR(VLOOKUP(C46,Hoja1!$H$2:$I$45,2,0),"")</f>
        <v>Si</v>
      </c>
      <c r="G46" s="126" t="str">
        <f t="shared" si="0"/>
        <v>Existe requerimiento pero se requiere actividades  dirigidas a su mantenimiento dentro del marco de las lineas de defensa.</v>
      </c>
      <c r="I46" s="134">
        <f t="shared" si="1"/>
        <v>1</v>
      </c>
      <c r="J46" s="251">
        <f>+AVERAGE(I46:I52)</f>
        <v>1</v>
      </c>
    </row>
    <row r="47" spans="1:10" ht="92.25" customHeight="1" x14ac:dyDescent="0.25">
      <c r="A47" s="1"/>
      <c r="B47" s="1"/>
      <c r="C47" s="129">
        <v>29</v>
      </c>
      <c r="D47" s="261"/>
      <c r="E47" s="115" t="str">
        <f>+IFERROR(INDEX(Hoja1!$E$2:$E$45,MATCH('Análisis Resultados'!C47,Hoja1!$H$2:$H$45,0)),"")</f>
        <v>Canales de comunicación con los ciudadanos</v>
      </c>
      <c r="F47" s="116" t="str">
        <f>+IFERROR(VLOOKUP(C47,Hoja1!$H$2:$I$45,2,0),"")</f>
        <v>Si</v>
      </c>
      <c r="G47" s="127" t="str">
        <f t="shared" si="0"/>
        <v>Existe requerimiento pero se requiere actividades  dirigidas a su mantenimiento dentro del marco de las lineas de defensa.</v>
      </c>
      <c r="I47" s="135">
        <f t="shared" si="1"/>
        <v>1</v>
      </c>
      <c r="J47" s="251"/>
    </row>
    <row r="48" spans="1:10" ht="66.75" customHeight="1" x14ac:dyDescent="0.25">
      <c r="A48" s="1"/>
      <c r="B48" s="1"/>
      <c r="C48" s="129">
        <v>30</v>
      </c>
      <c r="D48" s="261"/>
      <c r="E48" s="115" t="str">
        <f>+IFERROR(INDEX(Hoja1!$E$2:$E$45,MATCH('Análisis Resultados'!C48,Hoja1!$H$2:$H$45,0)),"")</f>
        <v>Canales de comunicación o mecanismos de reporte de información a otros organismos gubernamentales o de control</v>
      </c>
      <c r="F48" s="116" t="str">
        <f>+IFERROR(VLOOKUP(C48,Hoja1!$H$2:$I$45,2,0),"")</f>
        <v>Si</v>
      </c>
      <c r="G48" s="127" t="str">
        <f t="shared" si="0"/>
        <v>Existe requerimiento pero se requiere actividades  dirigidas a su mantenimiento dentro del marco de las lineas de defensa.</v>
      </c>
      <c r="I48" s="135">
        <f t="shared" si="1"/>
        <v>1</v>
      </c>
      <c r="J48" s="251"/>
    </row>
    <row r="49" spans="1:10" ht="60" customHeight="1" x14ac:dyDescent="0.25">
      <c r="A49" s="1"/>
      <c r="B49" s="1"/>
      <c r="C49" s="129">
        <v>31</v>
      </c>
      <c r="D49" s="261"/>
      <c r="E49" s="115" t="str">
        <f>+IFERROR(INDEX(Hoja1!$E$2:$E$45,MATCH('Análisis Resultados'!C49,Hoja1!$H$2:$H$45,0)),"")</f>
        <v xml:space="preserve">Lineamientos para dar tratamiento a la información de carácter reservado </v>
      </c>
      <c r="F49" s="116" t="str">
        <f>+IFERROR(VLOOKUP(C49,Hoja1!$H$2:$I$45,2,0),"")</f>
        <v>Si</v>
      </c>
      <c r="G49" s="127" t="str">
        <f t="shared" si="0"/>
        <v>Existe requerimiento pero se requiere actividades  dirigidas a su mantenimiento dentro del marco de las lineas de defensa.</v>
      </c>
      <c r="I49" s="135">
        <f t="shared" si="1"/>
        <v>1</v>
      </c>
      <c r="J49" s="251"/>
    </row>
    <row r="50" spans="1:10" ht="57" customHeight="1" x14ac:dyDescent="0.25">
      <c r="A50" s="1"/>
      <c r="B50" s="1"/>
      <c r="C50" s="129">
        <v>32</v>
      </c>
      <c r="D50" s="261"/>
      <c r="E50" s="115" t="str">
        <f>+IFERROR(INDEX(Hoja1!$E$2:$E$45,MATCH('Análisis Resultados'!C50,Hoja1!$H$2:$H$45,0)),"")</f>
        <v>Identificación de información que produce en el marco de su gestión (Para los ciudadanos, organismos de control, organismos gubernamentales, entre otros)</v>
      </c>
      <c r="F50" s="116" t="str">
        <f>+IFERROR(VLOOKUP(C50,Hoja1!$H$2:$I$45,2,0),"")</f>
        <v>Si</v>
      </c>
      <c r="G50" s="127" t="str">
        <f t="shared" si="0"/>
        <v>Existe requerimiento pero se requiere actividades  dirigidas a su mantenimiento dentro del marco de las lineas de defensa.</v>
      </c>
      <c r="I50" s="135">
        <f t="shared" si="1"/>
        <v>1</v>
      </c>
      <c r="J50" s="251"/>
    </row>
    <row r="51" spans="1:10" ht="57" customHeight="1" x14ac:dyDescent="0.25">
      <c r="A51" s="1"/>
      <c r="B51" s="1"/>
      <c r="C51" s="129">
        <v>33</v>
      </c>
      <c r="D51" s="261"/>
      <c r="E51" s="115" t="str">
        <f>+IFERROR(INDEX(Hoja1!$E$2:$E$45,MATCH('Análisis Resultados'!C51,Hoja1!$H$2:$H$45,0)),"")</f>
        <v>Identificación de información necesaria para la operación de la entidad (normograma, presupuesto, talento humano, infraestructura física y tecnológica)</v>
      </c>
      <c r="F51" s="116" t="str">
        <f>+IFERROR(VLOOKUP(C51,Hoja1!$H$2:$I$45,2,0),"")</f>
        <v>Si</v>
      </c>
      <c r="G51" s="127" t="str">
        <f t="shared" si="0"/>
        <v>Existe requerimiento pero se requiere actividades  dirigidas a su mantenimiento dentro del marco de las lineas de defensa.</v>
      </c>
      <c r="I51" s="135">
        <f t="shared" si="1"/>
        <v>1</v>
      </c>
      <c r="J51" s="251"/>
    </row>
    <row r="52" spans="1:10" ht="45.75" thickBot="1" x14ac:dyDescent="0.3">
      <c r="A52" s="1"/>
      <c r="B52" s="1"/>
      <c r="C52" s="129">
        <v>34</v>
      </c>
      <c r="D52" s="261"/>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51"/>
    </row>
    <row r="53" spans="1:10" ht="41.25" customHeight="1" x14ac:dyDescent="0.25">
      <c r="A53" s="1"/>
      <c r="B53" s="1"/>
      <c r="C53" s="129">
        <v>35</v>
      </c>
      <c r="D53" s="255" t="s">
        <v>96</v>
      </c>
      <c r="E53" s="112" t="str">
        <f>+IFERROR(INDEX(Hoja1!$E$2:$E$45,MATCH('Análisis Resultados'!C53,Hoja1!$H$2:$H$45,0)),"")</f>
        <v>Mecanismos de evaluación de la gestión (cronogramas, indicadores, listas de chequeo u otros)</v>
      </c>
      <c r="F53" s="113" t="str">
        <f>+IFERROR(VLOOKUP(C53,Hoja1!$H$2:$I$45,2,0),"")</f>
        <v>Si</v>
      </c>
      <c r="G53" s="114" t="str">
        <f t="shared" si="0"/>
        <v>Existe requerimiento pero se requiere actividades  dirigidas a su mantenimiento dentro del marco de las lineas de defensa.</v>
      </c>
      <c r="I53" s="130">
        <f t="shared" si="1"/>
        <v>1</v>
      </c>
      <c r="J53" s="258">
        <f>+AVERAGE(I53:I62)</f>
        <v>1</v>
      </c>
    </row>
    <row r="54" spans="1:10" ht="58.5" customHeight="1" x14ac:dyDescent="0.25">
      <c r="A54" s="1"/>
      <c r="B54" s="1"/>
      <c r="C54" s="129">
        <v>36</v>
      </c>
      <c r="D54" s="256"/>
      <c r="E54" s="115"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16" t="str">
        <f>+IFERROR(VLOOKUP(C54,Hoja1!$H$2:$I$45,2,0),"")</f>
        <v>Si</v>
      </c>
      <c r="G54" s="117" t="str">
        <f t="shared" si="0"/>
        <v>Existe requerimiento pero se requiere actividades  dirigidas a su mantenimiento dentro del marco de las lineas de defensa.</v>
      </c>
      <c r="I54" s="131">
        <f t="shared" si="1"/>
        <v>1</v>
      </c>
      <c r="J54" s="259"/>
    </row>
    <row r="55" spans="1:10" s="1" customFormat="1" ht="84.75" customHeight="1" x14ac:dyDescent="0.25">
      <c r="C55" s="129">
        <v>37</v>
      </c>
      <c r="D55" s="256"/>
      <c r="E55" s="115" t="str">
        <f>+IFERROR(INDEX(Hoja1!$E$2:$E$45,MATCH('Análisis Resultados'!C55,Hoja1!$H$2:$H$45,0)),"")</f>
        <v>Medidas correctivas en caso de detectarse deficiencias en los ejercicios de evaluación, seguimiento o auditoría</v>
      </c>
      <c r="F55" s="116" t="str">
        <f>+IFERROR(VLOOKUP(C55,Hoja1!$H$2:$I$45,2,0),"")</f>
        <v>Si</v>
      </c>
      <c r="G55" s="117" t="str">
        <f t="shared" si="0"/>
        <v>Existe requerimiento pero se requiere actividades  dirigidas a su mantenimiento dentro del marco de las lineas de defensa.</v>
      </c>
      <c r="I55" s="131">
        <f t="shared" si="1"/>
        <v>1</v>
      </c>
      <c r="J55" s="259"/>
    </row>
    <row r="56" spans="1:10" s="1" customFormat="1" ht="78.75" customHeight="1" x14ac:dyDescent="0.25">
      <c r="C56" s="129">
        <v>38</v>
      </c>
      <c r="D56" s="256"/>
      <c r="E56" s="115" t="str">
        <f>+IFERROR(INDEX(Hoja1!$E$2:$E$45,MATCH('Análisis Resultados'!C56,Hoja1!$H$2:$H$45,0)),"")</f>
        <v>Seguimiento a los planes de mejoramiento suscritos con instancias de control internas o externas</v>
      </c>
      <c r="F56" s="116" t="str">
        <f>+IFERROR(VLOOKUP(C56,Hoja1!$H$2:$I$45,2,0),"")</f>
        <v>Si</v>
      </c>
      <c r="G56" s="117" t="str">
        <f t="shared" si="0"/>
        <v>Existe requerimiento pero se requiere actividades  dirigidas a su mantenimiento dentro del marco de las lineas de defensa.</v>
      </c>
      <c r="I56" s="131">
        <f t="shared" si="1"/>
        <v>1</v>
      </c>
      <c r="J56" s="259"/>
    </row>
    <row r="57" spans="1:10" s="1" customFormat="1" ht="54.75" customHeight="1" x14ac:dyDescent="0.25">
      <c r="C57" s="129">
        <v>39</v>
      </c>
      <c r="D57" s="256"/>
      <c r="E57" s="115" t="str">
        <f>+IFERROR(INDEX(Hoja1!$E$2:$E$45,MATCH('Análisis Resultados'!C57,Hoja1!$H$2:$H$45,0)),"")</f>
        <v>La entidad participa en el  Comité Municipal de Auditoría?</v>
      </c>
      <c r="F57" s="116" t="str">
        <f>+IFERROR(VLOOKUP(C57,Hoja1!$H$2:$I$45,2,0),"")</f>
        <v>Si</v>
      </c>
      <c r="G57" s="117" t="str">
        <f t="shared" si="0"/>
        <v>Existe requerimiento pero se requiere actividades  dirigidas a su mantenimiento dentro del marco de las lineas de defensa.</v>
      </c>
      <c r="I57" s="131">
        <f t="shared" si="1"/>
        <v>1</v>
      </c>
      <c r="J57" s="259"/>
    </row>
    <row r="58" spans="1:10" s="1" customFormat="1" ht="68.25" customHeight="1" x14ac:dyDescent="0.25">
      <c r="C58" s="129">
        <v>40</v>
      </c>
      <c r="D58" s="256"/>
      <c r="E58" s="115" t="str">
        <f>+IFERROR(INDEX(Hoja1!$E$2:$E$45,MATCH('Análisis Resultados'!C58,Hoja1!$H$2:$H$45,0)),"")</f>
        <v>Evitar que los problemas (riesgos) obstaculicen el cumplimiento de los objetivos.</v>
      </c>
      <c r="F58" s="116" t="str">
        <f>+IFERROR(VLOOKUP(C58,Hoja1!$H$2:$I$45,2,0),"")</f>
        <v>Si</v>
      </c>
      <c r="G58" s="117" t="str">
        <f t="shared" si="0"/>
        <v>Existe requerimiento pero se requiere actividades  dirigidas a su mantenimiento dentro del marco de las lineas de defensa.</v>
      </c>
      <c r="I58" s="131">
        <f t="shared" si="1"/>
        <v>1</v>
      </c>
      <c r="J58" s="259"/>
    </row>
    <row r="59" spans="1:10" s="1" customFormat="1" ht="45" customHeight="1" x14ac:dyDescent="0.25">
      <c r="C59" s="129">
        <v>41</v>
      </c>
      <c r="D59" s="256"/>
      <c r="E59" s="115" t="str">
        <f>+IFERROR(INDEX(Hoja1!$E$2:$E$45,MATCH('Análisis Resultados'!C59,Hoja1!$H$2:$H$45,0)),"")</f>
        <v>Controlar los puntos críticos en los procesos.</v>
      </c>
      <c r="F59" s="116" t="str">
        <f>+IFERROR(VLOOKUP(C59,Hoja1!$H$2:$I$45,2,0),"")</f>
        <v>Si</v>
      </c>
      <c r="G59" s="117" t="str">
        <f t="shared" si="0"/>
        <v>Existe requerimiento pero se requiere actividades  dirigidas a su mantenimiento dentro del marco de las lineas de defensa.</v>
      </c>
      <c r="I59" s="131">
        <f t="shared" si="1"/>
        <v>1</v>
      </c>
      <c r="J59" s="259"/>
    </row>
    <row r="60" spans="1:10" s="1" customFormat="1" ht="51.75" customHeight="1" x14ac:dyDescent="0.25">
      <c r="C60" s="129">
        <v>42</v>
      </c>
      <c r="D60" s="256"/>
      <c r="E60" s="115" t="str">
        <f>+IFERROR(INDEX(Hoja1!$E$2:$E$45,MATCH('Análisis Resultados'!C60,Hoja1!$H$2:$H$45,0)),"")</f>
        <v>Diseñar acciones adecuadas para controlar los problemas que afectan el cumplimiento de las metas y objetivos institucionales (riesgos).</v>
      </c>
      <c r="F60" s="116" t="str">
        <f>+IFERROR(VLOOKUP(C60,Hoja1!$H$2:$I$45,2,0),"")</f>
        <v>Si</v>
      </c>
      <c r="G60" s="117" t="str">
        <f t="shared" si="0"/>
        <v>Existe requerimiento pero se requiere actividades  dirigidas a su mantenimiento dentro del marco de las lineas de defensa.</v>
      </c>
      <c r="I60" s="131">
        <f t="shared" si="1"/>
        <v>1</v>
      </c>
      <c r="J60" s="259"/>
    </row>
    <row r="61" spans="1:10" s="1" customFormat="1" ht="84" customHeight="1" x14ac:dyDescent="0.25">
      <c r="C61" s="129">
        <v>43</v>
      </c>
      <c r="D61" s="256"/>
      <c r="E61" s="115" t="str">
        <f>+IFERROR(INDEX(Hoja1!$E$2:$E$45,MATCH('Análisis Resultados'!C61,Hoja1!$H$2:$H$45,0)),"")</f>
        <v>Ejecutar las acciones de acuerdo a como se diseñaron previamente.</v>
      </c>
      <c r="F61" s="116" t="str">
        <f>+IFERROR(VLOOKUP(C61,Hoja1!$H$2:$I$45,2,0),"")</f>
        <v>Si</v>
      </c>
      <c r="G61" s="117" t="str">
        <f t="shared" si="0"/>
        <v>Existe requerimiento pero se requiere actividades  dirigidas a su mantenimiento dentro del marco de las lineas de defensa.</v>
      </c>
      <c r="I61" s="131">
        <f t="shared" si="1"/>
        <v>1</v>
      </c>
      <c r="J61" s="259"/>
    </row>
    <row r="62" spans="1:10" s="1" customFormat="1" ht="60" customHeight="1" thickBot="1" x14ac:dyDescent="0.3">
      <c r="C62" s="129">
        <v>44</v>
      </c>
      <c r="D62" s="257"/>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60"/>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zoomScale="64" zoomScaleNormal="64" workbookViewId="0">
      <selection activeCell="I34" sqref="I34:M34"/>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88" t="s">
        <v>123</v>
      </c>
      <c r="F4" s="290"/>
      <c r="G4" s="290"/>
      <c r="H4" s="290"/>
      <c r="I4" s="290"/>
      <c r="J4" s="290"/>
      <c r="K4" s="290"/>
      <c r="L4" s="290"/>
      <c r="M4" s="290"/>
      <c r="N4" s="6"/>
      <c r="O4" s="6"/>
      <c r="P4" s="7"/>
      <c r="Q4" s="1"/>
    </row>
    <row r="5" spans="1:17" ht="45.75" customHeight="1" x14ac:dyDescent="0.3">
      <c r="A5" s="1"/>
      <c r="B5" s="5"/>
      <c r="C5" s="1"/>
      <c r="D5" s="1"/>
      <c r="E5" s="289"/>
      <c r="F5" s="290"/>
      <c r="G5" s="290"/>
      <c r="H5" s="290"/>
      <c r="I5" s="290"/>
      <c r="J5" s="290"/>
      <c r="K5" s="290"/>
      <c r="L5" s="290"/>
      <c r="M5" s="290"/>
      <c r="N5" s="6"/>
      <c r="O5" s="6"/>
      <c r="P5" s="7"/>
      <c r="Q5" s="1"/>
    </row>
    <row r="6" spans="1:17" ht="66.75" customHeight="1" x14ac:dyDescent="0.3">
      <c r="A6" s="1"/>
      <c r="B6" s="5"/>
      <c r="C6" s="1"/>
      <c r="D6" s="1"/>
      <c r="E6" s="88" t="s">
        <v>124</v>
      </c>
      <c r="F6" s="291"/>
      <c r="G6" s="292"/>
      <c r="H6" s="292"/>
      <c r="I6" s="292"/>
      <c r="J6" s="292"/>
      <c r="K6" s="292"/>
      <c r="L6" s="292"/>
      <c r="M6" s="293"/>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294" t="s">
        <v>125</v>
      </c>
      <c r="J8" s="295"/>
      <c r="K8" s="296"/>
      <c r="L8" s="1"/>
      <c r="M8" s="137">
        <f>+AVERAGE(G26,G28,G30,G32,G34)</f>
        <v>0.99166666666666681</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297" t="s">
        <v>126</v>
      </c>
      <c r="D18" s="298"/>
      <c r="E18" s="298"/>
      <c r="F18" s="298"/>
      <c r="G18" s="298"/>
      <c r="H18" s="298"/>
      <c r="I18" s="298"/>
      <c r="J18" s="298"/>
      <c r="K18" s="298"/>
      <c r="L18" s="298"/>
      <c r="M18" s="299"/>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00" t="s">
        <v>127</v>
      </c>
      <c r="D20" s="301"/>
      <c r="E20" s="140" t="s">
        <v>75</v>
      </c>
      <c r="F20" s="310" t="s">
        <v>232</v>
      </c>
      <c r="G20" s="310"/>
      <c r="H20" s="310"/>
      <c r="I20" s="310"/>
      <c r="J20" s="310"/>
      <c r="K20" s="310"/>
      <c r="L20" s="310"/>
      <c r="M20" s="311"/>
      <c r="N20" s="14"/>
      <c r="O20" s="14"/>
      <c r="P20" s="7"/>
      <c r="Q20" s="1"/>
    </row>
    <row r="21" spans="1:17" ht="126.75" customHeight="1" x14ac:dyDescent="0.25">
      <c r="A21" s="1"/>
      <c r="B21" s="5"/>
      <c r="C21" s="284" t="s">
        <v>128</v>
      </c>
      <c r="D21" s="285"/>
      <c r="E21" s="141" t="s">
        <v>38</v>
      </c>
      <c r="F21" s="312" t="s">
        <v>233</v>
      </c>
      <c r="G21" s="312"/>
      <c r="H21" s="312"/>
      <c r="I21" s="312"/>
      <c r="J21" s="312"/>
      <c r="K21" s="312"/>
      <c r="L21" s="312"/>
      <c r="M21" s="313"/>
      <c r="N21" s="14"/>
      <c r="O21" s="14"/>
      <c r="P21" s="7"/>
      <c r="Q21" s="1"/>
    </row>
    <row r="22" spans="1:17" ht="151.5" customHeight="1" thickBot="1" x14ac:dyDescent="0.3">
      <c r="A22" s="1"/>
      <c r="B22" s="5"/>
      <c r="C22" s="286" t="s">
        <v>129</v>
      </c>
      <c r="D22" s="287"/>
      <c r="E22" s="142" t="s">
        <v>38</v>
      </c>
      <c r="F22" s="314" t="s">
        <v>234</v>
      </c>
      <c r="G22" s="314"/>
      <c r="H22" s="314"/>
      <c r="I22" s="314"/>
      <c r="J22" s="314"/>
      <c r="K22" s="314"/>
      <c r="L22" s="314"/>
      <c r="M22" s="315"/>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130</v>
      </c>
      <c r="D24" s="92"/>
      <c r="E24" s="91" t="s">
        <v>131</v>
      </c>
      <c r="F24" s="92"/>
      <c r="G24" s="91" t="s">
        <v>132</v>
      </c>
      <c r="H24" s="92"/>
      <c r="I24" s="302" t="s">
        <v>133</v>
      </c>
      <c r="J24" s="302"/>
      <c r="K24" s="302"/>
      <c r="L24" s="302"/>
      <c r="M24" s="302"/>
      <c r="N24" s="30"/>
      <c r="O24" s="30"/>
      <c r="P24" s="7"/>
      <c r="Q24" s="16"/>
    </row>
    <row r="25" spans="1:17" ht="13.5" customHeight="1" thickBot="1" x14ac:dyDescent="0.3">
      <c r="A25" s="1"/>
      <c r="B25" s="5"/>
      <c r="C25" s="29"/>
      <c r="I25" s="303"/>
      <c r="J25" s="303"/>
      <c r="K25" s="303"/>
      <c r="L25" s="303"/>
      <c r="M25" s="303"/>
      <c r="N25" s="31"/>
      <c r="O25" s="31"/>
      <c r="P25" s="7"/>
      <c r="Q25" s="1"/>
    </row>
    <row r="26" spans="1:17" ht="155.25" customHeight="1" thickBot="1" x14ac:dyDescent="0.3">
      <c r="A26" s="1"/>
      <c r="B26" s="5"/>
      <c r="C26" s="82" t="s">
        <v>32</v>
      </c>
      <c r="D26" s="17"/>
      <c r="E26" s="138" t="str">
        <f>+IF(Hoja1!K2&gt;=0.5,"Si","No")</f>
        <v>Si</v>
      </c>
      <c r="F26" s="18"/>
      <c r="G26" s="139">
        <f>+Hoja1!K2</f>
        <v>0.95833333333333337</v>
      </c>
      <c r="H26" s="18"/>
      <c r="I26" s="316" t="s">
        <v>235</v>
      </c>
      <c r="J26" s="317"/>
      <c r="K26" s="317"/>
      <c r="L26" s="317"/>
      <c r="M26" s="318"/>
      <c r="N26" s="32"/>
      <c r="O26" s="33"/>
      <c r="P26" s="19"/>
      <c r="Q26" s="20"/>
    </row>
    <row r="27" spans="1:17" ht="27" thickBot="1" x14ac:dyDescent="0.45">
      <c r="A27" s="1"/>
      <c r="B27" s="5"/>
      <c r="C27" s="83"/>
      <c r="E27" s="90"/>
      <c r="G27" s="21"/>
      <c r="I27" s="304"/>
      <c r="J27" s="304"/>
      <c r="K27" s="304"/>
      <c r="L27" s="304"/>
      <c r="M27" s="304"/>
      <c r="N27" s="34"/>
      <c r="O27" s="34"/>
      <c r="P27" s="7"/>
      <c r="Q27" s="1"/>
    </row>
    <row r="28" spans="1:17" ht="111.75" customHeight="1" thickBot="1" x14ac:dyDescent="0.3">
      <c r="A28" s="1"/>
      <c r="B28" s="5"/>
      <c r="C28" s="84" t="s">
        <v>134</v>
      </c>
      <c r="D28" s="17"/>
      <c r="E28" s="138" t="str">
        <f>+IF(Hoja1!K14&gt;=0.5,"Si","No")</f>
        <v>Si</v>
      </c>
      <c r="G28" s="139">
        <f>+Hoja1!K14</f>
        <v>1</v>
      </c>
      <c r="I28" s="319" t="s">
        <v>236</v>
      </c>
      <c r="J28" s="320"/>
      <c r="K28" s="320"/>
      <c r="L28" s="320"/>
      <c r="M28" s="321"/>
      <c r="N28" s="32"/>
      <c r="O28" s="32"/>
      <c r="P28" s="7"/>
      <c r="Q28" s="1"/>
    </row>
    <row r="29" spans="1:17" ht="27" thickBot="1" x14ac:dyDescent="0.45">
      <c r="A29" s="1"/>
      <c r="B29" s="5"/>
      <c r="C29" s="83"/>
      <c r="E29" s="90"/>
      <c r="G29" s="21"/>
      <c r="I29" s="304"/>
      <c r="J29" s="304"/>
      <c r="K29" s="304"/>
      <c r="L29" s="304"/>
      <c r="M29" s="304"/>
      <c r="N29" s="34"/>
      <c r="O29" s="34"/>
      <c r="P29" s="7"/>
      <c r="Q29" s="1"/>
    </row>
    <row r="30" spans="1:17" ht="123" customHeight="1" thickBot="1" x14ac:dyDescent="0.3">
      <c r="A30" s="1"/>
      <c r="B30" s="5"/>
      <c r="C30" s="85" t="s">
        <v>135</v>
      </c>
      <c r="D30" s="17"/>
      <c r="E30" s="138" t="str">
        <f>+IF(Hoja1!K24&gt;=0.5,"Si","No")</f>
        <v>Si</v>
      </c>
      <c r="G30" s="139">
        <f>+Hoja1!K24</f>
        <v>1</v>
      </c>
      <c r="I30" s="319" t="s">
        <v>237</v>
      </c>
      <c r="J30" s="320"/>
      <c r="K30" s="320"/>
      <c r="L30" s="320"/>
      <c r="M30" s="321"/>
      <c r="N30" s="32"/>
      <c r="O30" s="32"/>
      <c r="P30" s="7"/>
      <c r="Q30" s="1"/>
    </row>
    <row r="31" spans="1:17" ht="27" thickBot="1" x14ac:dyDescent="0.45">
      <c r="A31" s="1"/>
      <c r="B31" s="5"/>
      <c r="C31" s="83"/>
      <c r="E31" s="90"/>
      <c r="G31" s="21"/>
      <c r="I31" s="304"/>
      <c r="J31" s="304"/>
      <c r="K31" s="304"/>
      <c r="L31" s="304"/>
      <c r="M31" s="304"/>
      <c r="N31" s="34"/>
      <c r="O31" s="34"/>
      <c r="P31" s="7"/>
      <c r="Q31" s="1"/>
    </row>
    <row r="32" spans="1:17" ht="171" customHeight="1" thickBot="1" x14ac:dyDescent="0.3">
      <c r="A32" s="1"/>
      <c r="B32" s="5"/>
      <c r="C32" s="86" t="s">
        <v>86</v>
      </c>
      <c r="D32" s="17"/>
      <c r="E32" s="138" t="str">
        <f>+IF(Hoja1!K29&gt;=0.5,"Si","No")</f>
        <v>Si</v>
      </c>
      <c r="G32" s="139">
        <f>+Hoja1!K29</f>
        <v>1</v>
      </c>
      <c r="I32" s="319" t="s">
        <v>238</v>
      </c>
      <c r="J32" s="320"/>
      <c r="K32" s="320"/>
      <c r="L32" s="320"/>
      <c r="M32" s="321"/>
      <c r="N32" s="32"/>
      <c r="O32" s="32"/>
      <c r="P32" s="7"/>
      <c r="Q32" s="1"/>
    </row>
    <row r="33" spans="1:17" ht="27" thickBot="1" x14ac:dyDescent="0.45">
      <c r="A33" s="1"/>
      <c r="B33" s="5"/>
      <c r="C33" s="83"/>
      <c r="E33" s="90"/>
      <c r="G33" s="21"/>
      <c r="I33" s="304"/>
      <c r="J33" s="304"/>
      <c r="K33" s="304"/>
      <c r="L33" s="304"/>
      <c r="M33" s="304"/>
      <c r="N33" s="34"/>
      <c r="O33" s="34"/>
      <c r="P33" s="7"/>
      <c r="Q33" s="1"/>
    </row>
    <row r="34" spans="1:17" ht="164.25" customHeight="1" thickBot="1" x14ac:dyDescent="0.3">
      <c r="A34" s="1"/>
      <c r="B34" s="5"/>
      <c r="C34" s="87" t="s">
        <v>136</v>
      </c>
      <c r="D34" s="17"/>
      <c r="E34" s="89" t="str">
        <f>+IF(Hoja1!K36&gt;=0.5,"Si","No")</f>
        <v>Si</v>
      </c>
      <c r="G34" s="139">
        <f>+Hoja1!K36</f>
        <v>1</v>
      </c>
      <c r="I34" s="319" t="s">
        <v>239</v>
      </c>
      <c r="J34" s="320"/>
      <c r="K34" s="320"/>
      <c r="L34" s="320"/>
      <c r="M34" s="321"/>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137</v>
      </c>
      <c r="G1" s="146" t="s">
        <v>138</v>
      </c>
      <c r="H1" s="146" t="s">
        <v>139</v>
      </c>
      <c r="I1" s="146" t="s">
        <v>118</v>
      </c>
      <c r="J1" s="146" t="s">
        <v>140</v>
      </c>
      <c r="K1" s="146" t="s">
        <v>141</v>
      </c>
    </row>
    <row r="2" spans="1:11" x14ac:dyDescent="0.25">
      <c r="A2" s="147" t="s">
        <v>142</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2</v>
      </c>
      <c r="I2" s="147" t="str">
        <f>+IF(VLOOKUP(A2,'Estado SCI'!$A$16:$G$59,7,0)="","",VLOOKUP(A2,'Estado SCI'!$A$16:$G$59,7,0))</f>
        <v>Si</v>
      </c>
      <c r="J2" s="148">
        <f>+IF(I2="Si",1,IF(I2="En proceso",0.5,0))</f>
        <v>1</v>
      </c>
      <c r="K2" s="149">
        <f t="shared" ref="K2:K45" si="1">+AVERAGEIF($B$2:$B$45,B2,$J$2:$J$45)</f>
        <v>0.95833333333333337</v>
      </c>
    </row>
    <row r="3" spans="1:11" x14ac:dyDescent="0.25">
      <c r="A3" s="147" t="s">
        <v>143</v>
      </c>
      <c r="B3" s="147" t="s">
        <v>32</v>
      </c>
      <c r="C3" s="147" t="s">
        <v>33</v>
      </c>
      <c r="D3" s="147" t="s">
        <v>36</v>
      </c>
      <c r="E3" s="147" t="s">
        <v>37</v>
      </c>
      <c r="F3" s="147" t="str">
        <f>+VLOOKUP(A3,'Estado SCI'!$A$16:$I$59,9,0)</f>
        <v>Mantenimiento del control</v>
      </c>
      <c r="G3" s="147">
        <f>+VLOOKUP(A3,'Estado SCI'!$A$16:$L$59,12,0)</f>
        <v>20.1234</v>
      </c>
      <c r="H3" s="147">
        <f t="shared" si="0"/>
        <v>3</v>
      </c>
      <c r="I3" s="147" t="str">
        <f>+IF(VLOOKUP(A3,'Estado SCI'!$A$16:$G$59,7,0)="","",VLOOKUP(A3,'Estado SCI'!$A$16:$G$59,7,0))</f>
        <v>Si</v>
      </c>
      <c r="J3" s="148">
        <f t="shared" ref="J3:J45" si="2">+IF(I3="Si",1,IF(I3="En proceso",0.5,0))</f>
        <v>1</v>
      </c>
      <c r="K3" s="149">
        <f t="shared" si="1"/>
        <v>0.95833333333333337</v>
      </c>
    </row>
    <row r="4" spans="1:11" x14ac:dyDescent="0.25">
      <c r="A4" s="147" t="s">
        <v>144</v>
      </c>
      <c r="B4" s="147" t="s">
        <v>32</v>
      </c>
      <c r="C4" s="147" t="s">
        <v>33</v>
      </c>
      <c r="D4" s="147" t="s">
        <v>39</v>
      </c>
      <c r="E4" s="147" t="s">
        <v>40</v>
      </c>
      <c r="F4" s="147" t="str">
        <f>+VLOOKUP(A4,'Estado SCI'!$A$16:$I$59,9,0)</f>
        <v>Mantenimiento del control</v>
      </c>
      <c r="G4" s="147">
        <f>+VLOOKUP(A4,'Estado SCI'!$A$16:$L$59,12,0)</f>
        <v>20.123449999999998</v>
      </c>
      <c r="H4" s="147">
        <f t="shared" si="0"/>
        <v>4</v>
      </c>
      <c r="I4" s="147" t="str">
        <f>+IF(VLOOKUP(A4,'Estado SCI'!$A$16:$G$59,7,0)="","",VLOOKUP(A4,'Estado SCI'!$A$16:$G$59,7,0))</f>
        <v>Si</v>
      </c>
      <c r="J4" s="148">
        <f t="shared" si="2"/>
        <v>1</v>
      </c>
      <c r="K4" s="149">
        <f t="shared" si="1"/>
        <v>0.95833333333333337</v>
      </c>
    </row>
    <row r="5" spans="1:11" x14ac:dyDescent="0.25">
      <c r="A5" s="147" t="s">
        <v>145</v>
      </c>
      <c r="B5" s="147" t="s">
        <v>32</v>
      </c>
      <c r="C5" s="147" t="s">
        <v>33</v>
      </c>
      <c r="D5" s="147" t="s">
        <v>41</v>
      </c>
      <c r="E5" s="147" t="s">
        <v>42</v>
      </c>
      <c r="F5" s="147" t="str">
        <f>+VLOOKUP(A5,'Estado SCI'!$A$16:$I$59,9,0)</f>
        <v>Mantenimiento del control</v>
      </c>
      <c r="G5" s="147">
        <f>+VLOOKUP(A5,'Estado SCI'!$A$16:$L$59,12,0)</f>
        <v>20.123456000000001</v>
      </c>
      <c r="H5" s="147">
        <f t="shared" si="0"/>
        <v>5</v>
      </c>
      <c r="I5" s="147" t="str">
        <f>+IF(VLOOKUP(A5,'Estado SCI'!$A$16:$G$59,7,0)="","",VLOOKUP(A5,'Estado SCI'!$A$16:$G$59,7,0))</f>
        <v>Si</v>
      </c>
      <c r="J5" s="148">
        <f t="shared" si="2"/>
        <v>1</v>
      </c>
      <c r="K5" s="149">
        <f t="shared" si="1"/>
        <v>0.95833333333333337</v>
      </c>
    </row>
    <row r="6" spans="1:11" x14ac:dyDescent="0.25">
      <c r="A6" s="147" t="s">
        <v>146</v>
      </c>
      <c r="B6" s="147" t="s">
        <v>32</v>
      </c>
      <c r="C6" s="147" t="s">
        <v>33</v>
      </c>
      <c r="D6" s="147" t="s">
        <v>43</v>
      </c>
      <c r="E6" s="147" t="s">
        <v>44</v>
      </c>
      <c r="F6" s="147" t="str">
        <f>+VLOOKUP(A6,'Estado SCI'!$A$16:$I$59,9,0)</f>
        <v>Mantenimiento del control</v>
      </c>
      <c r="G6" s="147">
        <f>+VLOOKUP(A6,'Estado SCI'!$A$16:$L$59,12,0)</f>
        <v>20.123456780000001</v>
      </c>
      <c r="H6" s="147">
        <f t="shared" si="0"/>
        <v>6</v>
      </c>
      <c r="I6" s="147" t="str">
        <f>+IF(VLOOKUP(A6,'Estado SCI'!$A$16:$G$59,7,0)="","",VLOOKUP(A6,'Estado SCI'!$A$16:$G$59,7,0))</f>
        <v>Si</v>
      </c>
      <c r="J6" s="148">
        <f t="shared" si="2"/>
        <v>1</v>
      </c>
      <c r="K6" s="149">
        <f t="shared" si="1"/>
        <v>0.95833333333333337</v>
      </c>
    </row>
    <row r="7" spans="1:11" x14ac:dyDescent="0.25">
      <c r="A7" s="147" t="s">
        <v>147</v>
      </c>
      <c r="B7" s="147" t="s">
        <v>32</v>
      </c>
      <c r="C7" s="147" t="s">
        <v>33</v>
      </c>
      <c r="D7" s="147" t="s">
        <v>45</v>
      </c>
      <c r="E7" s="147" t="s">
        <v>46</v>
      </c>
      <c r="F7" s="147" t="str">
        <f>+VLOOKUP(A7,'Estado SCI'!$A$16:$I$59,9,0)</f>
        <v>Mantenimiento del control</v>
      </c>
      <c r="G7" s="147">
        <f>+VLOOKUP(A7,'Estado SCI'!$A$16:$L$59,12,0)</f>
        <v>20.123456788999999</v>
      </c>
      <c r="H7" s="147">
        <f t="shared" si="0"/>
        <v>7</v>
      </c>
      <c r="I7" s="147" t="str">
        <f>+IF(VLOOKUP(A7,'Estado SCI'!$A$16:$G$59,7,0)="","",VLOOKUP(A7,'Estado SCI'!$A$16:$G$59,7,0))</f>
        <v>Si</v>
      </c>
      <c r="J7" s="148">
        <f t="shared" si="2"/>
        <v>1</v>
      </c>
      <c r="K7" s="149">
        <f t="shared" si="1"/>
        <v>0.95833333333333337</v>
      </c>
    </row>
    <row r="8" spans="1:11" x14ac:dyDescent="0.25">
      <c r="A8" s="147" t="s">
        <v>148</v>
      </c>
      <c r="B8" s="147" t="s">
        <v>32</v>
      </c>
      <c r="C8" s="147" t="s">
        <v>33</v>
      </c>
      <c r="D8" s="147" t="s">
        <v>47</v>
      </c>
      <c r="E8" s="147" t="s">
        <v>48</v>
      </c>
      <c r="F8" s="147" t="str">
        <f>+VLOOKUP(A8,'Estado SCI'!$A$16:$I$59,9,0)</f>
        <v>Mantenimiento del control</v>
      </c>
      <c r="G8" s="147">
        <f>+VLOOKUP(A8,'Estado SCI'!$A$16:$L$59,12,0)</f>
        <v>20.1234567891</v>
      </c>
      <c r="H8" s="147">
        <f t="shared" si="0"/>
        <v>8</v>
      </c>
      <c r="I8" s="147" t="str">
        <f>+IF(VLOOKUP(A8,'Estado SCI'!$A$16:$G$59,7,0)="","",VLOOKUP(A8,'Estado SCI'!$A$16:$G$59,7,0))</f>
        <v>Si</v>
      </c>
      <c r="J8" s="148">
        <f t="shared" si="2"/>
        <v>1</v>
      </c>
      <c r="K8" s="149">
        <f t="shared" si="1"/>
        <v>0.95833333333333337</v>
      </c>
    </row>
    <row r="9" spans="1:11" x14ac:dyDescent="0.25">
      <c r="A9" s="147" t="s">
        <v>149</v>
      </c>
      <c r="B9" s="147" t="s">
        <v>32</v>
      </c>
      <c r="C9" s="147" t="s">
        <v>33</v>
      </c>
      <c r="D9" s="147" t="s">
        <v>49</v>
      </c>
      <c r="E9" s="147" t="s">
        <v>50</v>
      </c>
      <c r="F9" s="147" t="str">
        <f>+VLOOKUP(A9,'Estado SCI'!$A$16:$I$59,9,0)</f>
        <v>Mantenimiento del control</v>
      </c>
      <c r="G9" s="147">
        <f>+VLOOKUP(A9,'Estado SCI'!$A$16:$L$59,12,0)</f>
        <v>20.123456789119999</v>
      </c>
      <c r="H9" s="147">
        <f t="shared" si="0"/>
        <v>9</v>
      </c>
      <c r="I9" s="147" t="str">
        <f>+IF(VLOOKUP(A9,'Estado SCI'!$A$16:$G$59,7,0)="","",VLOOKUP(A9,'Estado SCI'!$A$16:$G$59,7,0))</f>
        <v>Si</v>
      </c>
      <c r="J9" s="148">
        <f t="shared" si="2"/>
        <v>1</v>
      </c>
      <c r="K9" s="149">
        <f t="shared" si="1"/>
        <v>0.95833333333333337</v>
      </c>
    </row>
    <row r="10" spans="1:11" x14ac:dyDescent="0.25">
      <c r="A10" s="147" t="s">
        <v>150</v>
      </c>
      <c r="B10" s="147" t="s">
        <v>32</v>
      </c>
      <c r="C10" s="147" t="s">
        <v>33</v>
      </c>
      <c r="D10" s="147" t="s">
        <v>51</v>
      </c>
      <c r="E10" s="147" t="s">
        <v>52</v>
      </c>
      <c r="F10" s="147" t="str">
        <f>+VLOOKUP(A10,'Estado SCI'!$A$16:$I$59,9,0)</f>
        <v>Mantenimiento del control</v>
      </c>
      <c r="G10" s="147">
        <f>+VLOOKUP(A10,'Estado SCI'!$A$16:$L$59,12,0)</f>
        <v>20.123456789123001</v>
      </c>
      <c r="H10" s="147">
        <f t="shared" si="0"/>
        <v>10</v>
      </c>
      <c r="I10" s="147" t="str">
        <f>+IF(VLOOKUP(A10,'Estado SCI'!$A$16:$G$59,7,0)="","",VLOOKUP(A10,'Estado SCI'!$A$16:$G$59,7,0))</f>
        <v>Si</v>
      </c>
      <c r="J10" s="148">
        <f t="shared" si="2"/>
        <v>1</v>
      </c>
      <c r="K10" s="149">
        <f t="shared" si="1"/>
        <v>0.95833333333333337</v>
      </c>
    </row>
    <row r="11" spans="1:11" x14ac:dyDescent="0.25">
      <c r="A11" s="147" t="s">
        <v>151</v>
      </c>
      <c r="B11" s="147" t="s">
        <v>32</v>
      </c>
      <c r="C11" s="147" t="s">
        <v>33</v>
      </c>
      <c r="D11" s="147" t="s">
        <v>53</v>
      </c>
      <c r="E11" s="147" t="s">
        <v>54</v>
      </c>
      <c r="F11" s="147" t="str">
        <f>+VLOOKUP(A11,'Estado SCI'!$A$16:$I$59,9,0)</f>
        <v>Mantenimiento del control</v>
      </c>
      <c r="G11" s="147">
        <f>+VLOOKUP(A11,'Estado SCI'!$A$16:$L$59,12,0)</f>
        <v>20.123456789123399</v>
      </c>
      <c r="H11" s="147">
        <f t="shared" si="0"/>
        <v>11</v>
      </c>
      <c r="I11" s="147" t="str">
        <f>+IF(VLOOKUP(A11,'Estado SCI'!$A$16:$G$59,7,0)="","",VLOOKUP(A11,'Estado SCI'!$A$16:$G$59,7,0))</f>
        <v>Si</v>
      </c>
      <c r="J11" s="148">
        <f t="shared" si="2"/>
        <v>1</v>
      </c>
      <c r="K11" s="149">
        <f t="shared" si="1"/>
        <v>0.95833333333333337</v>
      </c>
    </row>
    <row r="12" spans="1:11" x14ac:dyDescent="0.25">
      <c r="A12" s="147" t="s">
        <v>152</v>
      </c>
      <c r="B12" s="147" t="s">
        <v>32</v>
      </c>
      <c r="C12" s="147" t="s">
        <v>33</v>
      </c>
      <c r="D12" s="147" t="s">
        <v>55</v>
      </c>
      <c r="E12" s="147" t="s">
        <v>56</v>
      </c>
      <c r="F12" s="147" t="str">
        <f>+VLOOKUP(A12,'Estado SCI'!$A$16:$I$59,9,0)</f>
        <v>Oportunidad de mejora</v>
      </c>
      <c r="G12" s="147">
        <f>+VLOOKUP(A12,'Estado SCI'!$A$16:$L$59,12,0)</f>
        <v>10.12345678912345</v>
      </c>
      <c r="H12" s="147">
        <f t="shared" si="0"/>
        <v>1</v>
      </c>
      <c r="I12" s="147" t="str">
        <f>+IF(VLOOKUP(A12,'Estado SCI'!$A$16:$G$59,7,0)="","",VLOOKUP(A12,'Estado SCI'!$A$16:$G$59,7,0))</f>
        <v>En proceso</v>
      </c>
      <c r="J12" s="148">
        <f t="shared" si="2"/>
        <v>0.5</v>
      </c>
      <c r="K12" s="149">
        <f t="shared" si="1"/>
        <v>0.95833333333333337</v>
      </c>
    </row>
    <row r="13" spans="1:11" x14ac:dyDescent="0.25">
      <c r="A13" s="147" t="s">
        <v>153</v>
      </c>
      <c r="B13" s="147" t="s">
        <v>32</v>
      </c>
      <c r="C13" s="147" t="s">
        <v>33</v>
      </c>
      <c r="D13" s="147" t="s">
        <v>57</v>
      </c>
      <c r="E13" s="147" t="s">
        <v>58</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0.95833333333333337</v>
      </c>
    </row>
    <row r="14" spans="1:11" ht="15" customHeight="1" x14ac:dyDescent="0.25">
      <c r="A14" s="147" t="s">
        <v>154</v>
      </c>
      <c r="B14" s="147" t="str">
        <f>+VLOOKUP(A14,'Estado SCI'!$A$16:$C$59,3,0)</f>
        <v>EVALUACION DEL RIESGO</v>
      </c>
      <c r="C14" s="147" t="s">
        <v>61</v>
      </c>
      <c r="D14" s="147" t="s">
        <v>34</v>
      </c>
      <c r="E14" s="147" t="s">
        <v>155</v>
      </c>
      <c r="F14" s="147" t="str">
        <f>+VLOOKUP(A14,'Estado SCI'!$A$16:$I$59,9,0)</f>
        <v>Mantenimiento del control</v>
      </c>
      <c r="G14" s="147">
        <f>+VLOOKUP(A14,'Estado SCI'!$A$16:$L$59,12,0)</f>
        <v>40.229999999999997</v>
      </c>
      <c r="H14" s="147">
        <f t="shared" si="0"/>
        <v>13</v>
      </c>
      <c r="I14" s="147" t="str">
        <f>+IF(VLOOKUP(A14,'Estado SCI'!$A$16:$G$59,7,0)="","",VLOOKUP(A14,'Estado SCI'!$A$16:$G$59,7,0))</f>
        <v>Si</v>
      </c>
      <c r="J14" s="148">
        <f t="shared" si="2"/>
        <v>1</v>
      </c>
      <c r="K14" s="149">
        <f t="shared" si="1"/>
        <v>1</v>
      </c>
    </row>
    <row r="15" spans="1:11" ht="15" customHeight="1" x14ac:dyDescent="0.25">
      <c r="A15" s="147" t="s">
        <v>156</v>
      </c>
      <c r="B15" s="147" t="s">
        <v>60</v>
      </c>
      <c r="C15" s="147" t="s">
        <v>61</v>
      </c>
      <c r="D15" s="147" t="s">
        <v>36</v>
      </c>
      <c r="E15" s="147" t="s">
        <v>157</v>
      </c>
      <c r="F15" s="147" t="str">
        <f>+VLOOKUP(A15,'Estado SCI'!$A$16:$I$59,9,0)</f>
        <v>Mantenimiento del control</v>
      </c>
      <c r="G15" s="147">
        <f>+VLOOKUP(A15,'Estado SCI'!$A$16:$L$59,12,0)</f>
        <v>40.234000000000002</v>
      </c>
      <c r="H15" s="147">
        <f t="shared" si="0"/>
        <v>14</v>
      </c>
      <c r="I15" s="147" t="str">
        <f>+IF(VLOOKUP(A15,'Estado SCI'!$A$16:$G$59,7,0)="","",VLOOKUP(A15,'Estado SCI'!$A$16:$G$59,7,0))</f>
        <v>Si</v>
      </c>
      <c r="J15" s="148">
        <f t="shared" si="2"/>
        <v>1</v>
      </c>
      <c r="K15" s="149">
        <f t="shared" si="1"/>
        <v>1</v>
      </c>
    </row>
    <row r="16" spans="1:11" ht="15" customHeight="1" x14ac:dyDescent="0.25">
      <c r="A16" s="147" t="s">
        <v>158</v>
      </c>
      <c r="B16" s="147" t="s">
        <v>60</v>
      </c>
      <c r="C16" s="147" t="s">
        <v>61</v>
      </c>
      <c r="D16" s="147" t="s">
        <v>39</v>
      </c>
      <c r="E16" s="147" t="s">
        <v>159</v>
      </c>
      <c r="F16" s="147" t="str">
        <f>+VLOOKUP(A16,'Estado SCI'!$A$16:$I$59,9,0)</f>
        <v>Mantenimiento del control</v>
      </c>
      <c r="G16" s="147">
        <f>+VLOOKUP(A16,'Estado SCI'!$A$16:$L$59,12,0)</f>
        <v>40.234499999999997</v>
      </c>
      <c r="H16" s="147">
        <f t="shared" si="0"/>
        <v>15</v>
      </c>
      <c r="I16" s="147" t="str">
        <f>+IF(VLOOKUP(A16,'Estado SCI'!$A$16:$G$59,7,0)="","",VLOOKUP(A16,'Estado SCI'!$A$16:$G$59,7,0))</f>
        <v>Si</v>
      </c>
      <c r="J16" s="148">
        <f t="shared" si="2"/>
        <v>1</v>
      </c>
      <c r="K16" s="149">
        <f t="shared" si="1"/>
        <v>1</v>
      </c>
    </row>
    <row r="17" spans="1:11" ht="15.75" customHeight="1" x14ac:dyDescent="0.25">
      <c r="A17" s="147" t="s">
        <v>160</v>
      </c>
      <c r="B17" s="147" t="s">
        <v>60</v>
      </c>
      <c r="C17" s="147" t="s">
        <v>61</v>
      </c>
      <c r="D17" s="147" t="s">
        <v>41</v>
      </c>
      <c r="E17" s="147" t="s">
        <v>65</v>
      </c>
      <c r="F17" s="147" t="str">
        <f>+VLOOKUP(A17,'Estado SCI'!$A$16:$I$59,9,0)</f>
        <v>Mantenimiento del control</v>
      </c>
      <c r="G17" s="147">
        <f>+VLOOKUP(A17,'Estado SCI'!$A$16:$L$59,12,0)</f>
        <v>40.234560000000002</v>
      </c>
      <c r="H17" s="147">
        <f t="shared" si="0"/>
        <v>16</v>
      </c>
      <c r="I17" s="147" t="str">
        <f>+IF(VLOOKUP(A17,'Estado SCI'!$A$16:$G$59,7,0)="","",VLOOKUP(A17,'Estado SCI'!$A$16:$G$59,7,0))</f>
        <v>Si</v>
      </c>
      <c r="J17" s="148">
        <f t="shared" si="2"/>
        <v>1</v>
      </c>
      <c r="K17" s="149">
        <f t="shared" si="1"/>
        <v>1</v>
      </c>
    </row>
    <row r="18" spans="1:11" ht="15" customHeight="1" x14ac:dyDescent="0.25">
      <c r="A18" s="147" t="s">
        <v>161</v>
      </c>
      <c r="B18" s="147" t="s">
        <v>60</v>
      </c>
      <c r="C18" s="147" t="s">
        <v>79</v>
      </c>
      <c r="D18" s="147" t="s">
        <v>34</v>
      </c>
      <c r="E18" s="147" t="s">
        <v>68</v>
      </c>
      <c r="F18" s="147" t="str">
        <f>+VLOOKUP(A18,'Estado SCI'!$A$16:$I$59,9,0)</f>
        <v>Mantenimiento del control</v>
      </c>
      <c r="G18" s="147">
        <f>+VLOOKUP(A18,'Estado SCI'!$A$16:$L$59,12,0)</f>
        <v>40.234566999999998</v>
      </c>
      <c r="H18" s="147">
        <f t="shared" si="0"/>
        <v>17</v>
      </c>
      <c r="I18" s="147" t="str">
        <f>+IF(VLOOKUP(A18,'Estado SCI'!$A$16:$G$59,7,0)="","",VLOOKUP(A18,'Estado SCI'!$A$16:$G$59,7,0))</f>
        <v>Si</v>
      </c>
      <c r="J18" s="148">
        <f t="shared" si="2"/>
        <v>1</v>
      </c>
      <c r="K18" s="149">
        <f t="shared" si="1"/>
        <v>1</v>
      </c>
    </row>
    <row r="19" spans="1:11" ht="15" customHeight="1" x14ac:dyDescent="0.25">
      <c r="A19" s="147" t="s">
        <v>162</v>
      </c>
      <c r="B19" s="147" t="s">
        <v>60</v>
      </c>
      <c r="C19" s="147" t="s">
        <v>79</v>
      </c>
      <c r="D19" s="147" t="s">
        <v>36</v>
      </c>
      <c r="E19" s="147" t="s">
        <v>69</v>
      </c>
      <c r="F19" s="147" t="str">
        <f>+VLOOKUP(A19,'Estado SCI'!$A$16:$I$59,9,0)</f>
        <v>Mantenimiento del control</v>
      </c>
      <c r="G19" s="147">
        <f>+VLOOKUP(A19,'Estado SCI'!$A$16:$L$59,12,0)</f>
        <v>40.234567800000001</v>
      </c>
      <c r="H19" s="147">
        <f t="shared" si="0"/>
        <v>18</v>
      </c>
      <c r="I19" s="147" t="str">
        <f>+IF(VLOOKUP(A19,'Estado SCI'!$A$16:$G$59,7,0)="","",VLOOKUP(A19,'Estado SCI'!$A$16:$G$59,7,0))</f>
        <v>Si</v>
      </c>
      <c r="J19" s="148">
        <f t="shared" si="2"/>
        <v>1</v>
      </c>
      <c r="K19" s="149">
        <f t="shared" si="1"/>
        <v>1</v>
      </c>
    </row>
    <row r="20" spans="1:11" ht="15" customHeight="1" x14ac:dyDescent="0.25">
      <c r="A20" s="147" t="s">
        <v>163</v>
      </c>
      <c r="B20" s="147" t="s">
        <v>60</v>
      </c>
      <c r="C20" s="147" t="s">
        <v>79</v>
      </c>
      <c r="D20" s="147" t="s">
        <v>39</v>
      </c>
      <c r="E20" s="147" t="s">
        <v>70</v>
      </c>
      <c r="F20" s="147" t="str">
        <f>+VLOOKUP(A20,'Estado SCI'!$A$16:$I$59,9,0)</f>
        <v>Mantenimiento del control</v>
      </c>
      <c r="G20" s="147">
        <f>+VLOOKUP(A20,'Estado SCI'!$A$16:$L$59,12,0)</f>
        <v>40.234567890000001</v>
      </c>
      <c r="H20" s="147">
        <f t="shared" si="0"/>
        <v>19</v>
      </c>
      <c r="I20" s="147" t="str">
        <f>+IF(VLOOKUP(A20,'Estado SCI'!$A$16:$G$59,7,0)="","",VLOOKUP(A20,'Estado SCI'!$A$16:$G$59,7,0))</f>
        <v>Si</v>
      </c>
      <c r="J20" s="148">
        <f t="shared" si="2"/>
        <v>1</v>
      </c>
      <c r="K20" s="149">
        <f t="shared" si="1"/>
        <v>1</v>
      </c>
    </row>
    <row r="21" spans="1:11" ht="15.75" customHeight="1" x14ac:dyDescent="0.25">
      <c r="A21" s="147" t="s">
        <v>164</v>
      </c>
      <c r="B21" s="147" t="s">
        <v>60</v>
      </c>
      <c r="C21" s="147" t="s">
        <v>79</v>
      </c>
      <c r="D21" s="147" t="s">
        <v>34</v>
      </c>
      <c r="E21" s="147" t="s">
        <v>73</v>
      </c>
      <c r="F21" s="147" t="str">
        <f>+VLOOKUP(A21,'Estado SCI'!$A$16:$I$59,9,0)</f>
        <v>Mantenimiento del control</v>
      </c>
      <c r="G21" s="147">
        <f>+VLOOKUP(A21,'Estado SCI'!$A$16:$L$59,12,0)</f>
        <v>40.234567891200001</v>
      </c>
      <c r="H21" s="147">
        <f t="shared" si="0"/>
        <v>20</v>
      </c>
      <c r="I21" s="147" t="str">
        <f>+IF(VLOOKUP(A21,'Estado SCI'!$A$16:$G$59,7,0)="","",VLOOKUP(A21,'Estado SCI'!$A$16:$G$59,7,0))</f>
        <v>Si</v>
      </c>
      <c r="J21" s="148">
        <f t="shared" si="2"/>
        <v>1</v>
      </c>
      <c r="K21" s="149">
        <f t="shared" si="1"/>
        <v>1</v>
      </c>
    </row>
    <row r="22" spans="1:11" ht="15" customHeight="1" x14ac:dyDescent="0.25">
      <c r="A22" s="147" t="s">
        <v>165</v>
      </c>
      <c r="B22" s="147" t="s">
        <v>60</v>
      </c>
      <c r="C22" s="147" t="s">
        <v>87</v>
      </c>
      <c r="D22" s="147" t="s">
        <v>36</v>
      </c>
      <c r="E22" s="147" t="s">
        <v>74</v>
      </c>
      <c r="F22" s="147" t="str">
        <f>+VLOOKUP(A22,'Estado SCI'!$A$16:$I$59,9,0)</f>
        <v>Mantenimiento del control</v>
      </c>
      <c r="G22" s="147">
        <f>+VLOOKUP(A22,'Estado SCI'!$A$16:$L$59,12,0)</f>
        <v>40.23456789123</v>
      </c>
      <c r="H22" s="147">
        <f t="shared" si="0"/>
        <v>21</v>
      </c>
      <c r="I22" s="147" t="str">
        <f>+IF(VLOOKUP(A22,'Estado SCI'!$A$16:$G$59,7,0)="","",VLOOKUP(A22,'Estado SCI'!$A$16:$G$59,7,0))</f>
        <v>Si</v>
      </c>
      <c r="J22" s="148">
        <f t="shared" si="2"/>
        <v>1</v>
      </c>
      <c r="K22" s="149">
        <f t="shared" si="1"/>
        <v>1</v>
      </c>
    </row>
    <row r="23" spans="1:11" ht="15" customHeight="1" x14ac:dyDescent="0.25">
      <c r="A23" s="147" t="s">
        <v>166</v>
      </c>
      <c r="B23" s="147" t="s">
        <v>60</v>
      </c>
      <c r="C23" s="147" t="s">
        <v>87</v>
      </c>
      <c r="D23" s="147" t="s">
        <v>39</v>
      </c>
      <c r="E23" s="147" t="s">
        <v>76</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1</v>
      </c>
    </row>
    <row r="24" spans="1:11" ht="15" customHeight="1" x14ac:dyDescent="0.25">
      <c r="A24" s="147" t="s">
        <v>167</v>
      </c>
      <c r="B24" s="147" t="str">
        <f>+VLOOKUP(A24,'Estado SCI'!$A$16:$C$59,3,0)</f>
        <v>ACTIVIDADES DE CONTROL</v>
      </c>
      <c r="C24" s="147" t="s">
        <v>87</v>
      </c>
      <c r="D24" s="147" t="s">
        <v>34</v>
      </c>
      <c r="E24" s="147" t="s">
        <v>80</v>
      </c>
      <c r="F24" s="147" t="str">
        <f>+VLOOKUP(A24,'Estado SCI'!$A$16:$I$59,9,0)</f>
        <v>Mantenimiento del control</v>
      </c>
      <c r="G24" s="147">
        <f>+VLOOKUP(A24,'Estado SCI'!$A$16:$L$59,12,0)</f>
        <v>60.31</v>
      </c>
      <c r="H24" s="147">
        <f t="shared" si="0"/>
        <v>23</v>
      </c>
      <c r="I24" s="147" t="str">
        <f>+IF(VLOOKUP(A24,'Estado SCI'!$A$16:$G$59,7,0)="","",VLOOKUP(A24,'Estado SCI'!$A$16:$G$59,7,0))</f>
        <v>Si</v>
      </c>
      <c r="J24" s="148">
        <f t="shared" si="2"/>
        <v>1</v>
      </c>
      <c r="K24" s="149">
        <f t="shared" si="1"/>
        <v>1</v>
      </c>
    </row>
    <row r="25" spans="1:11" ht="15" customHeight="1" x14ac:dyDescent="0.25">
      <c r="A25" s="147" t="s">
        <v>168</v>
      </c>
      <c r="B25" s="147" t="s">
        <v>78</v>
      </c>
      <c r="C25" s="147" t="s">
        <v>87</v>
      </c>
      <c r="D25" s="147" t="s">
        <v>36</v>
      </c>
      <c r="E25" s="147" t="s">
        <v>81</v>
      </c>
      <c r="F25" s="147" t="str">
        <f>+VLOOKUP(A25,'Estado SCI'!$A$16:$I$59,9,0)</f>
        <v>Mantenimiento del control</v>
      </c>
      <c r="G25" s="147">
        <f>+VLOOKUP(A25,'Estado SCI'!$A$16:$L$59,12,0)</f>
        <v>60.323</v>
      </c>
      <c r="H25" s="147">
        <f t="shared" si="0"/>
        <v>24</v>
      </c>
      <c r="I25" s="147" t="str">
        <f>+IF(VLOOKUP(A25,'Estado SCI'!$A$16:$G$59,7,0)="","",VLOOKUP(A25,'Estado SCI'!$A$16:$G$59,7,0))</f>
        <v>Si</v>
      </c>
      <c r="J25" s="148">
        <f t="shared" si="2"/>
        <v>1</v>
      </c>
      <c r="K25" s="149">
        <f t="shared" si="1"/>
        <v>1</v>
      </c>
    </row>
    <row r="26" spans="1:11" ht="15" customHeight="1" x14ac:dyDescent="0.25">
      <c r="A26" s="147" t="s">
        <v>169</v>
      </c>
      <c r="B26" s="147" t="s">
        <v>78</v>
      </c>
      <c r="C26" s="147" t="s">
        <v>87</v>
      </c>
      <c r="D26" s="147" t="s">
        <v>39</v>
      </c>
      <c r="E26" s="147" t="s">
        <v>82</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1</v>
      </c>
    </row>
    <row r="27" spans="1:11" ht="15.75" customHeight="1" x14ac:dyDescent="0.25">
      <c r="A27" s="147" t="s">
        <v>170</v>
      </c>
      <c r="B27" s="147" t="s">
        <v>78</v>
      </c>
      <c r="C27" s="147" t="s">
        <v>87</v>
      </c>
      <c r="D27" s="147" t="s">
        <v>41</v>
      </c>
      <c r="E27" s="147" t="s">
        <v>83</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1</v>
      </c>
    </row>
    <row r="28" spans="1:11" ht="15" customHeight="1" x14ac:dyDescent="0.25">
      <c r="A28" s="147" t="s">
        <v>171</v>
      </c>
      <c r="B28" s="147" t="s">
        <v>78</v>
      </c>
      <c r="C28" s="147" t="s">
        <v>97</v>
      </c>
      <c r="D28" s="147" t="s">
        <v>43</v>
      </c>
      <c r="E28" s="147" t="s">
        <v>84</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1</v>
      </c>
    </row>
    <row r="29" spans="1:11" ht="15" customHeight="1" x14ac:dyDescent="0.25">
      <c r="A29" s="147" t="s">
        <v>172</v>
      </c>
      <c r="B29" s="147" t="str">
        <f>+VLOOKUP(A29,'Estado SCI'!$A$16:$C$59,3,0)</f>
        <v>INFORMACION Y COMUNICACIÓN</v>
      </c>
      <c r="C29" s="147" t="s">
        <v>97</v>
      </c>
      <c r="D29" s="147" t="s">
        <v>34</v>
      </c>
      <c r="E29" s="147" t="s">
        <v>88</v>
      </c>
      <c r="F29" s="147" t="str">
        <f>+VLOOKUP(A29,'Estado SCI'!$A$16:$I$59,9,0)</f>
        <v>Mantenimiento del control</v>
      </c>
      <c r="G29" s="147">
        <f>+VLOOKUP(A29,'Estado SCI'!$A$16:$L$59,12,0)</f>
        <v>80.412000000000006</v>
      </c>
      <c r="H29" s="147">
        <f t="shared" si="0"/>
        <v>28</v>
      </c>
      <c r="I29" s="147" t="str">
        <f>+IF(VLOOKUP(A29,'Estado SCI'!$A$16:$G$59,7,0)="","",VLOOKUP(A29,'Estado SCI'!$A$16:$G$59,7,0))</f>
        <v>Si</v>
      </c>
      <c r="J29" s="148">
        <f t="shared" si="2"/>
        <v>1</v>
      </c>
      <c r="K29" s="149">
        <f t="shared" si="1"/>
        <v>1</v>
      </c>
    </row>
    <row r="30" spans="1:11" ht="15" customHeight="1" x14ac:dyDescent="0.25">
      <c r="A30" s="147" t="s">
        <v>173</v>
      </c>
      <c r="B30" s="147" t="s">
        <v>86</v>
      </c>
      <c r="C30" s="147" t="s">
        <v>97</v>
      </c>
      <c r="D30" s="147" t="s">
        <v>36</v>
      </c>
      <c r="E30" s="147" t="s">
        <v>89</v>
      </c>
      <c r="F30" s="147" t="str">
        <f>+VLOOKUP(A30,'Estado SCI'!$A$16:$I$59,9,0)</f>
        <v>Mantenimiento del control</v>
      </c>
      <c r="G30" s="147">
        <f>+VLOOKUP(A30,'Estado SCI'!$A$16:$L$59,12,0)</f>
        <v>80.412300000000002</v>
      </c>
      <c r="H30" s="147">
        <f t="shared" si="0"/>
        <v>29</v>
      </c>
      <c r="I30" s="147" t="str">
        <f>+IF(VLOOKUP(A30,'Estado SCI'!$A$16:$G$59,7,0)="","",VLOOKUP(A30,'Estado SCI'!$A$16:$G$59,7,0))</f>
        <v>Si</v>
      </c>
      <c r="J30" s="148">
        <f t="shared" si="2"/>
        <v>1</v>
      </c>
      <c r="K30" s="149">
        <f t="shared" si="1"/>
        <v>1</v>
      </c>
    </row>
    <row r="31" spans="1:11" ht="15.75" customHeight="1" x14ac:dyDescent="0.25">
      <c r="A31" s="147" t="s">
        <v>174</v>
      </c>
      <c r="B31" s="147" t="s">
        <v>86</v>
      </c>
      <c r="C31" s="147" t="s">
        <v>97</v>
      </c>
      <c r="D31" s="147" t="s">
        <v>39</v>
      </c>
      <c r="E31" s="147" t="s">
        <v>90</v>
      </c>
      <c r="F31" s="147" t="str">
        <f>+VLOOKUP(A31,'Estado SCI'!$A$16:$I$59,9,0)</f>
        <v>Mantenimiento del control</v>
      </c>
      <c r="G31" s="147">
        <f>+VLOOKUP(A31,'Estado SCI'!$A$16:$L$59,12,0)</f>
        <v>80.41234</v>
      </c>
      <c r="H31" s="147">
        <f t="shared" si="0"/>
        <v>30</v>
      </c>
      <c r="I31" s="147" t="str">
        <f>+IF(VLOOKUP(A31,'Estado SCI'!$A$16:$G$59,7,0)="","",VLOOKUP(A31,'Estado SCI'!$A$16:$G$59,7,0))</f>
        <v>Si</v>
      </c>
      <c r="J31" s="148">
        <f t="shared" si="2"/>
        <v>1</v>
      </c>
      <c r="K31" s="149">
        <f t="shared" si="1"/>
        <v>1</v>
      </c>
    </row>
    <row r="32" spans="1:11" x14ac:dyDescent="0.25">
      <c r="A32" s="147" t="s">
        <v>175</v>
      </c>
      <c r="B32" s="147" t="s">
        <v>86</v>
      </c>
      <c r="C32" s="147" t="s">
        <v>103</v>
      </c>
      <c r="D32" s="147" t="s">
        <v>41</v>
      </c>
      <c r="E32" s="147" t="s">
        <v>91</v>
      </c>
      <c r="F32" s="147" t="str">
        <f>+VLOOKUP(A32,'Estado SCI'!$A$16:$I$59,9,0)</f>
        <v>Mantenimiento del control</v>
      </c>
      <c r="G32" s="147">
        <f>+VLOOKUP(A32,'Estado SCI'!$A$16:$L$59,12,0)</f>
        <v>80.412345000000002</v>
      </c>
      <c r="H32" s="147">
        <f t="shared" si="0"/>
        <v>31</v>
      </c>
      <c r="I32" s="147" t="str">
        <f>+IF(VLOOKUP(A32,'Estado SCI'!$A$16:$G$59,7,0)="","",VLOOKUP(A32,'Estado SCI'!$A$16:$G$59,7,0))</f>
        <v>Si</v>
      </c>
      <c r="J32" s="148">
        <f t="shared" si="2"/>
        <v>1</v>
      </c>
      <c r="K32" s="149">
        <f t="shared" si="1"/>
        <v>1</v>
      </c>
    </row>
    <row r="33" spans="1:11" x14ac:dyDescent="0.25">
      <c r="A33" s="147" t="s">
        <v>176</v>
      </c>
      <c r="B33" s="147" t="s">
        <v>86</v>
      </c>
      <c r="C33" s="147" t="s">
        <v>177</v>
      </c>
      <c r="D33" s="147" t="s">
        <v>43</v>
      </c>
      <c r="E33" s="147" t="s">
        <v>92</v>
      </c>
      <c r="F33" s="147" t="str">
        <f>+VLOOKUP(A33,'Estado SCI'!$A$16:$I$59,9,0)</f>
        <v>Mantenimiento del control</v>
      </c>
      <c r="G33" s="147">
        <f>+VLOOKUP(A33,'Estado SCI'!$A$16:$L$59,12,0)</f>
        <v>80.412345599999995</v>
      </c>
      <c r="H33" s="147">
        <f t="shared" si="0"/>
        <v>32</v>
      </c>
      <c r="I33" s="147" t="str">
        <f>+IF(VLOOKUP(A33,'Estado SCI'!$A$16:$G$59,7,0)="","",VLOOKUP(A33,'Estado SCI'!$A$16:$G$59,7,0))</f>
        <v>Si</v>
      </c>
      <c r="J33" s="148">
        <f t="shared" si="2"/>
        <v>1</v>
      </c>
      <c r="K33" s="149">
        <f t="shared" si="1"/>
        <v>1</v>
      </c>
    </row>
    <row r="34" spans="1:11" x14ac:dyDescent="0.25">
      <c r="A34" s="147" t="s">
        <v>178</v>
      </c>
      <c r="B34" s="147" t="s">
        <v>86</v>
      </c>
      <c r="C34" s="147" t="s">
        <v>177</v>
      </c>
      <c r="D34" s="147" t="s">
        <v>45</v>
      </c>
      <c r="E34" s="147" t="s">
        <v>93</v>
      </c>
      <c r="F34" s="147" t="str">
        <f>+VLOOKUP(A34,'Estado SCI'!$A$16:$I$59,9,0)</f>
        <v>Mantenimiento del control</v>
      </c>
      <c r="G34" s="147">
        <f>+VLOOKUP(A34,'Estado SCI'!$A$16:$L$59,12,0)</f>
        <v>80.412345669999993</v>
      </c>
      <c r="H34" s="147">
        <f t="shared" si="0"/>
        <v>33</v>
      </c>
      <c r="I34" s="147" t="str">
        <f>+IF(VLOOKUP(A34,'Estado SCI'!$A$16:$G$59,7,0)="","",VLOOKUP(A34,'Estado SCI'!$A$16:$G$59,7,0))</f>
        <v>Si</v>
      </c>
      <c r="J34" s="148">
        <f t="shared" si="2"/>
        <v>1</v>
      </c>
      <c r="K34" s="149">
        <f t="shared" si="1"/>
        <v>1</v>
      </c>
    </row>
    <row r="35" spans="1:11" x14ac:dyDescent="0.25">
      <c r="A35" s="147" t="s">
        <v>179</v>
      </c>
      <c r="B35" s="147" t="s">
        <v>86</v>
      </c>
      <c r="C35" s="147" t="s">
        <v>177</v>
      </c>
      <c r="D35" s="147" t="s">
        <v>47</v>
      </c>
      <c r="E35" s="147" t="s">
        <v>94</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1</v>
      </c>
    </row>
    <row r="36" spans="1:11" x14ac:dyDescent="0.25">
      <c r="A36" s="147" t="s">
        <v>180</v>
      </c>
      <c r="B36" s="147" t="str">
        <f>+VLOOKUP(A36,'Estado SCI'!$A$16:$C$59,3,0)</f>
        <v>ACTIVIDADES DE MONITOREO</v>
      </c>
      <c r="C36" s="147" t="s">
        <v>177</v>
      </c>
      <c r="D36" s="147" t="s">
        <v>34</v>
      </c>
      <c r="E36" s="147" t="s">
        <v>98</v>
      </c>
      <c r="F36" s="147" t="str">
        <f>+VLOOKUP(A36,'Estado SCI'!$A$16:$I$59,9,0)</f>
        <v>Mantenimiento del control</v>
      </c>
      <c r="G36" s="147">
        <f>+VLOOKUP(A36,'Estado SCI'!$A$16:$L$59,12,0)</f>
        <v>120.851</v>
      </c>
      <c r="H36" s="147">
        <f t="shared" si="0"/>
        <v>35</v>
      </c>
      <c r="I36" s="147" t="str">
        <f>+IF(VLOOKUP(A36,'Estado SCI'!$A$16:$G$59,7,0)="","",VLOOKUP(A36,'Estado SCI'!$A$16:$G$59,7,0))</f>
        <v>Si</v>
      </c>
      <c r="J36" s="148">
        <f t="shared" si="2"/>
        <v>1</v>
      </c>
      <c r="K36" s="149">
        <f t="shared" si="1"/>
        <v>1</v>
      </c>
    </row>
    <row r="37" spans="1:11" x14ac:dyDescent="0.25">
      <c r="A37" s="147" t="s">
        <v>181</v>
      </c>
      <c r="B37" s="147" t="s">
        <v>96</v>
      </c>
      <c r="C37" s="147" t="s">
        <v>177</v>
      </c>
      <c r="D37" s="147" t="s">
        <v>41</v>
      </c>
      <c r="E37" s="147" t="s">
        <v>99</v>
      </c>
      <c r="F37" s="147" t="str">
        <f>+VLOOKUP(A37,'Estado SCI'!$A$16:$I$59,9,0)</f>
        <v>Mantenimiento del control</v>
      </c>
      <c r="G37" s="147">
        <f>+VLOOKUP(A37,'Estado SCI'!$A$16:$L$59,12,0)</f>
        <v>120.85120000000001</v>
      </c>
      <c r="H37" s="147">
        <f t="shared" si="0"/>
        <v>36</v>
      </c>
      <c r="I37" s="147" t="str">
        <f>+IF(VLOOKUP(A37,'Estado SCI'!$A$16:$G$59,7,0)="","",VLOOKUP(A37,'Estado SCI'!$A$16:$G$59,7,0))</f>
        <v>Si</v>
      </c>
      <c r="J37" s="148">
        <f t="shared" si="2"/>
        <v>1</v>
      </c>
      <c r="K37" s="149">
        <f t="shared" si="1"/>
        <v>1</v>
      </c>
    </row>
    <row r="38" spans="1:11" x14ac:dyDescent="0.25">
      <c r="A38" s="147" t="s">
        <v>182</v>
      </c>
      <c r="B38" s="147" t="s">
        <v>96</v>
      </c>
      <c r="C38" s="147" t="s">
        <v>67</v>
      </c>
      <c r="D38" s="147" t="s">
        <v>45</v>
      </c>
      <c r="E38" s="147" t="s">
        <v>100</v>
      </c>
      <c r="F38" s="147" t="str">
        <f>+VLOOKUP(A38,'Estado SCI'!$A$16:$I$59,9,0)</f>
        <v>Mantenimiento del control</v>
      </c>
      <c r="G38" s="147">
        <f>+VLOOKUP(A38,'Estado SCI'!$A$16:$L$59,12,0)</f>
        <v>120.85123</v>
      </c>
      <c r="H38" s="147">
        <f t="shared" si="0"/>
        <v>37</v>
      </c>
      <c r="I38" s="147" t="str">
        <f>+IF(VLOOKUP(A38,'Estado SCI'!$A$16:$G$59,7,0)="","",VLOOKUP(A38,'Estado SCI'!$A$16:$G$59,7,0))</f>
        <v>Si</v>
      </c>
      <c r="J38" s="148">
        <f t="shared" si="2"/>
        <v>1</v>
      </c>
      <c r="K38" s="149">
        <f t="shared" si="1"/>
        <v>1</v>
      </c>
    </row>
    <row r="39" spans="1:11" x14ac:dyDescent="0.25">
      <c r="A39" s="147" t="s">
        <v>183</v>
      </c>
      <c r="B39" s="147" t="s">
        <v>96</v>
      </c>
      <c r="C39" s="147" t="s">
        <v>67</v>
      </c>
      <c r="D39" s="147" t="s">
        <v>47</v>
      </c>
      <c r="E39" s="147" t="s">
        <v>101</v>
      </c>
      <c r="F39" s="147" t="str">
        <f>+VLOOKUP(A39,'Estado SCI'!$A$16:$I$59,9,0)</f>
        <v>Mantenimiento del control</v>
      </c>
      <c r="G39" s="147">
        <f>+VLOOKUP(A39,'Estado SCI'!$A$16:$L$59,12,0)</f>
        <v>120.85123400000001</v>
      </c>
      <c r="H39" s="147">
        <f t="shared" si="0"/>
        <v>38</v>
      </c>
      <c r="I39" s="147" t="str">
        <f>+IF(VLOOKUP(A39,'Estado SCI'!$A$16:$G$59,7,0)="","",VLOOKUP(A39,'Estado SCI'!$A$16:$G$59,7,0))</f>
        <v>Si</v>
      </c>
      <c r="J39" s="148">
        <f t="shared" si="2"/>
        <v>1</v>
      </c>
      <c r="K39" s="149">
        <f t="shared" si="1"/>
        <v>1</v>
      </c>
    </row>
    <row r="40" spans="1:11" x14ac:dyDescent="0.25">
      <c r="A40" s="147" t="s">
        <v>184</v>
      </c>
      <c r="B40" s="147" t="s">
        <v>96</v>
      </c>
      <c r="C40" s="147" t="s">
        <v>67</v>
      </c>
      <c r="D40" s="147" t="s">
        <v>49</v>
      </c>
      <c r="E40" s="147" t="s">
        <v>104</v>
      </c>
      <c r="F40" s="147" t="str">
        <f>+VLOOKUP(A40,'Estado SCI'!$A$16:$I$59,9,0)</f>
        <v>Mantenimiento del control</v>
      </c>
      <c r="G40" s="147">
        <f>+VLOOKUP(A40,'Estado SCI'!$A$16:$L$59,12,0)</f>
        <v>120.8512345</v>
      </c>
      <c r="H40" s="147">
        <f t="shared" si="0"/>
        <v>39</v>
      </c>
      <c r="I40" s="147" t="str">
        <f>+IF(VLOOKUP(A40,'Estado SCI'!$A$16:$G$59,7,0)="","",VLOOKUP(A40,'Estado SCI'!$A$16:$G$59,7,0))</f>
        <v>Si</v>
      </c>
      <c r="J40" s="148">
        <f t="shared" si="2"/>
        <v>1</v>
      </c>
      <c r="K40" s="149">
        <f t="shared" si="1"/>
        <v>1</v>
      </c>
    </row>
    <row r="41" spans="1:11" x14ac:dyDescent="0.25">
      <c r="A41" s="147" t="s">
        <v>185</v>
      </c>
      <c r="B41" s="147" t="s">
        <v>96</v>
      </c>
      <c r="C41" s="147" t="s">
        <v>67</v>
      </c>
      <c r="D41" s="147" t="s">
        <v>34</v>
      </c>
      <c r="E41" s="147" t="s">
        <v>107</v>
      </c>
      <c r="F41" s="147" t="str">
        <f>+VLOOKUP(A41,'Estado SCI'!$A$16:$I$59,9,0)</f>
        <v>Mantenimiento del control</v>
      </c>
      <c r="G41" s="147">
        <f>+VLOOKUP(A41,'Estado SCI'!$A$16:$L$59,12,0)</f>
        <v>120.85123455999999</v>
      </c>
      <c r="H41" s="147">
        <f t="shared" si="0"/>
        <v>40</v>
      </c>
      <c r="I41" s="147" t="str">
        <f>+IF(VLOOKUP(A41,'Estado SCI'!$A$16:$G$59,7,0)="","",VLOOKUP(A41,'Estado SCI'!$A$16:$G$59,7,0))</f>
        <v>Si</v>
      </c>
      <c r="J41" s="148">
        <f t="shared" si="2"/>
        <v>1</v>
      </c>
      <c r="K41" s="149">
        <f t="shared" si="1"/>
        <v>1</v>
      </c>
    </row>
    <row r="42" spans="1:11" x14ac:dyDescent="0.25">
      <c r="A42" s="147" t="s">
        <v>186</v>
      </c>
      <c r="B42" s="147" t="s">
        <v>96</v>
      </c>
      <c r="C42" s="147" t="s">
        <v>72</v>
      </c>
      <c r="D42" s="147" t="s">
        <v>36</v>
      </c>
      <c r="E42" s="147" t="s">
        <v>108</v>
      </c>
      <c r="F42" s="147" t="str">
        <f>+VLOOKUP(A42,'Estado SCI'!$A$16:$I$59,9,0)</f>
        <v>Mantenimiento del control</v>
      </c>
      <c r="G42" s="147">
        <f>+VLOOKUP(A42,'Estado SCI'!$A$16:$L$59,12,0)</f>
        <v>120.85123456700001</v>
      </c>
      <c r="H42" s="147">
        <f t="shared" si="0"/>
        <v>41</v>
      </c>
      <c r="I42" s="147" t="str">
        <f>+IF(VLOOKUP(A42,'Estado SCI'!$A$16:$G$59,7,0)="","",VLOOKUP(A42,'Estado SCI'!$A$16:$G$59,7,0))</f>
        <v>Si</v>
      </c>
      <c r="J42" s="148">
        <f t="shared" si="2"/>
        <v>1</v>
      </c>
      <c r="K42" s="149">
        <f t="shared" si="1"/>
        <v>1</v>
      </c>
    </row>
    <row r="43" spans="1:11" x14ac:dyDescent="0.25">
      <c r="A43" s="147" t="s">
        <v>187</v>
      </c>
      <c r="B43" s="147" t="s">
        <v>96</v>
      </c>
      <c r="C43" s="147" t="s">
        <v>72</v>
      </c>
      <c r="D43" s="147" t="s">
        <v>39</v>
      </c>
      <c r="E43" s="147" t="s">
        <v>109</v>
      </c>
      <c r="F43" s="147" t="str">
        <f>+VLOOKUP(A43,'Estado SCI'!$A$16:$I$59,9,0)</f>
        <v>Mantenimiento del control</v>
      </c>
      <c r="G43" s="147">
        <f>+VLOOKUP(A43,'Estado SCI'!$A$16:$L$59,12,0)</f>
        <v>120.85123456780001</v>
      </c>
      <c r="H43" s="147">
        <f t="shared" si="0"/>
        <v>42</v>
      </c>
      <c r="I43" s="147" t="str">
        <f>+IF(VLOOKUP(A43,'Estado SCI'!$A$16:$G$59,7,0)="","",VLOOKUP(A43,'Estado SCI'!$A$16:$G$59,7,0))</f>
        <v>Si</v>
      </c>
      <c r="J43" s="148">
        <f t="shared" si="2"/>
        <v>1</v>
      </c>
      <c r="K43" s="149">
        <f t="shared" si="1"/>
        <v>1</v>
      </c>
    </row>
    <row r="44" spans="1:11" x14ac:dyDescent="0.25">
      <c r="A44" s="147" t="s">
        <v>188</v>
      </c>
      <c r="B44" s="147" t="s">
        <v>96</v>
      </c>
      <c r="C44" s="147" t="s">
        <v>72</v>
      </c>
      <c r="D44" s="147" t="s">
        <v>41</v>
      </c>
      <c r="E44" s="147" t="s">
        <v>110</v>
      </c>
      <c r="F44" s="147" t="str">
        <f>+VLOOKUP(A44,'Estado SCI'!$A$16:$I$59,9,0)</f>
        <v>Mantenimiento del control</v>
      </c>
      <c r="G44" s="147">
        <f>+VLOOKUP(A44,'Estado SCI'!$A$16:$L$59,12,0)</f>
        <v>120.85123456789</v>
      </c>
      <c r="H44" s="147">
        <f t="shared" si="0"/>
        <v>43</v>
      </c>
      <c r="I44" s="147" t="str">
        <f>+IF(VLOOKUP(A44,'Estado SCI'!$A$16:$G$59,7,0)="","",VLOOKUP(A44,'Estado SCI'!$A$16:$G$59,7,0))</f>
        <v>Si</v>
      </c>
      <c r="J44" s="148">
        <f t="shared" si="2"/>
        <v>1</v>
      </c>
      <c r="K44" s="149">
        <f t="shared" si="1"/>
        <v>1</v>
      </c>
    </row>
    <row r="45" spans="1:11" x14ac:dyDescent="0.25">
      <c r="A45" s="147" t="s">
        <v>189</v>
      </c>
      <c r="B45" s="147" t="s">
        <v>96</v>
      </c>
      <c r="C45" s="147" t="s">
        <v>72</v>
      </c>
      <c r="D45" s="147" t="s">
        <v>43</v>
      </c>
      <c r="E45" s="147" t="s">
        <v>111</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1</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CONTROL INTERNO</cp:lastModifiedBy>
  <cp:revision/>
  <dcterms:created xsi:type="dcterms:W3CDTF">2020-04-28T13:58:09Z</dcterms:created>
  <dcterms:modified xsi:type="dcterms:W3CDTF">2025-12-09T23:52:03Z</dcterms:modified>
  <cp:category/>
  <cp:contentStatus/>
</cp:coreProperties>
</file>